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D:\sondanglam\DUTOAN\2021\BHXHVN\"/>
    </mc:Choice>
  </mc:AlternateContent>
  <xr:revisionPtr revIDLastSave="0" documentId="13_ncr:1_{9BA98EC6-AD4A-430E-83E3-4046A2A669F9}" xr6:coauthVersionLast="45" xr6:coauthVersionMax="45" xr10:uidLastSave="{00000000-0000-0000-0000-000000000000}"/>
  <bookViews>
    <workbookView xWindow="-110" yWindow="-110" windowWidth="19420" windowHeight="10420" firstSheet="6" activeTab="7" xr2:uid="{00000000-000D-0000-FFFF-FFFF00000000}"/>
  </bookViews>
  <sheets>
    <sheet name="Mau bieu so 05b" sheetId="17" r:id="rId1"/>
    <sheet name="ChiKCB_2021" sheetId="9" r:id="rId2"/>
    <sheet name="ChiKCB_2022" sheetId="20" r:id="rId3"/>
    <sheet name="Sosanhluot2019_2021" sheetId="19" r:id="rId4"/>
    <sheet name="Sosanhluot2019_2022" sheetId="21" r:id="rId5"/>
    <sheet name="Tongmucthanhtoan2019_2021" sheetId="11" r:id="rId6"/>
    <sheet name="Giatang2021" sheetId="13" r:id="rId7"/>
    <sheet name="Giatang2022" sheetId="16" r:id="rId8"/>
    <sheet name="Tongmuc2022" sheetId="18" r:id="rId9"/>
    <sheet name="Quydinhsuat" sheetId="4" r:id="rId10"/>
    <sheet name="Mau bieu so 02(theBHYT_thu)" sheetId="3" r:id="rId11"/>
  </sheets>
  <externalReferences>
    <externalReference r:id="rId12"/>
  </externalReferences>
  <definedNames>
    <definedName name="_xlnm.Print_Area" localSheetId="1">ChiKCB_2021!$A$1:$U$43</definedName>
    <definedName name="_xlnm.Print_Area" localSheetId="2">ChiKCB_2022!$A$1:$U$43</definedName>
    <definedName name="_xlnm.Print_Area" localSheetId="6">Giatang2021!$A$1:$P$44</definedName>
    <definedName name="_xlnm.Print_Area" localSheetId="7">Giatang2022!$A$1:$X$42</definedName>
    <definedName name="_xlnm.Print_Area" localSheetId="3">Sosanhluot2019_2021!$A$1:$X$43</definedName>
    <definedName name="_xlnm.Print_Area" localSheetId="4">Sosanhluot2019_2022!$A$1:$L$43</definedName>
    <definedName name="_xlnm.Print_Area" localSheetId="8">Tongmuc2022!$A$1:$Q$44</definedName>
    <definedName name="_xlnm.Print_Area" localSheetId="5">Tongmucthanhtoan2019_2021!$A$1:$T$44</definedName>
    <definedName name="_xlnm.Print_Titles" localSheetId="8">Tongmuc2022!$5:$9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9" l="1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E43" i="20"/>
  <c r="F43" i="20"/>
  <c r="G43" i="20"/>
  <c r="H43" i="20"/>
  <c r="I43" i="20"/>
  <c r="J43" i="20"/>
  <c r="K43" i="20"/>
  <c r="L43" i="20"/>
  <c r="M43" i="20"/>
  <c r="N43" i="20"/>
  <c r="O43" i="20"/>
  <c r="P43" i="20"/>
  <c r="Q43" i="20"/>
  <c r="R43" i="20"/>
  <c r="S43" i="20"/>
  <c r="T43" i="20"/>
  <c r="U43" i="20"/>
  <c r="S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E42" i="16"/>
  <c r="F42" i="16"/>
  <c r="G42" i="16"/>
  <c r="H42" i="16"/>
  <c r="I42" i="16"/>
  <c r="J42" i="16"/>
  <c r="K42" i="16"/>
  <c r="L42" i="16"/>
  <c r="M42" i="16"/>
  <c r="N42" i="16"/>
  <c r="O42" i="16"/>
  <c r="P42" i="16"/>
  <c r="Q42" i="16"/>
  <c r="R42" i="16"/>
  <c r="S42" i="16"/>
  <c r="T42" i="16"/>
  <c r="U42" i="16"/>
  <c r="V42" i="16"/>
  <c r="W42" i="16"/>
  <c r="X42" i="16"/>
  <c r="E44" i="13"/>
  <c r="F44" i="13"/>
  <c r="G44" i="13"/>
  <c r="H44" i="13"/>
  <c r="I44" i="13"/>
  <c r="J44" i="13"/>
  <c r="K44" i="13"/>
  <c r="L44" i="13"/>
  <c r="M44" i="13"/>
  <c r="N44" i="13"/>
  <c r="O44" i="13"/>
  <c r="P44" i="13"/>
  <c r="L43" i="21" l="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9" i="21"/>
  <c r="H43" i="21"/>
  <c r="J43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8" i="21"/>
  <c r="H9" i="21"/>
  <c r="I42" i="21"/>
  <c r="G42" i="21"/>
  <c r="E42" i="21"/>
  <c r="D42" i="21"/>
  <c r="F42" i="21" s="1"/>
  <c r="I41" i="21"/>
  <c r="G41" i="21"/>
  <c r="K41" i="21" s="1"/>
  <c r="E41" i="21"/>
  <c r="D41" i="21"/>
  <c r="F41" i="21" s="1"/>
  <c r="I40" i="21"/>
  <c r="G40" i="21"/>
  <c r="K40" i="21" s="1"/>
  <c r="E40" i="21"/>
  <c r="D40" i="21"/>
  <c r="F40" i="21" s="1"/>
  <c r="I39" i="21"/>
  <c r="G39" i="21"/>
  <c r="K39" i="21" s="1"/>
  <c r="E39" i="21"/>
  <c r="D39" i="21"/>
  <c r="I38" i="21"/>
  <c r="G38" i="21"/>
  <c r="K38" i="21" s="1"/>
  <c r="E38" i="21"/>
  <c r="F38" i="21" s="1"/>
  <c r="D38" i="21"/>
  <c r="I37" i="21"/>
  <c r="G37" i="21"/>
  <c r="E37" i="21"/>
  <c r="D37" i="21"/>
  <c r="I36" i="21"/>
  <c r="G36" i="21"/>
  <c r="K36" i="21" s="1"/>
  <c r="E36" i="21"/>
  <c r="D36" i="21"/>
  <c r="F36" i="21" s="1"/>
  <c r="I35" i="21"/>
  <c r="G35" i="21"/>
  <c r="K35" i="21" s="1"/>
  <c r="E35" i="21"/>
  <c r="D35" i="21"/>
  <c r="I34" i="21"/>
  <c r="G34" i="21"/>
  <c r="E34" i="21"/>
  <c r="D34" i="21"/>
  <c r="I33" i="21"/>
  <c r="G33" i="21"/>
  <c r="K33" i="21" s="1"/>
  <c r="E33" i="21"/>
  <c r="D33" i="21"/>
  <c r="F33" i="21" s="1"/>
  <c r="I32" i="21"/>
  <c r="G32" i="21"/>
  <c r="F32" i="21"/>
  <c r="E32" i="21"/>
  <c r="D32" i="21"/>
  <c r="I31" i="21"/>
  <c r="G31" i="21"/>
  <c r="K31" i="21" s="1"/>
  <c r="E31" i="21"/>
  <c r="D31" i="21"/>
  <c r="F31" i="21" s="1"/>
  <c r="I30" i="21"/>
  <c r="G30" i="21"/>
  <c r="E30" i="21"/>
  <c r="F30" i="21" s="1"/>
  <c r="D30" i="21"/>
  <c r="I29" i="21"/>
  <c r="G29" i="21"/>
  <c r="E29" i="21"/>
  <c r="D29" i="21"/>
  <c r="I28" i="21"/>
  <c r="G28" i="21"/>
  <c r="E28" i="21"/>
  <c r="D28" i="21"/>
  <c r="F28" i="21" s="1"/>
  <c r="I27" i="21"/>
  <c r="G27" i="21"/>
  <c r="E27" i="21"/>
  <c r="D27" i="21"/>
  <c r="F27" i="21" s="1"/>
  <c r="I26" i="21"/>
  <c r="K26" i="21" s="1"/>
  <c r="G26" i="21"/>
  <c r="E26" i="21"/>
  <c r="F26" i="21" s="1"/>
  <c r="D26" i="21"/>
  <c r="I25" i="21"/>
  <c r="G25" i="21"/>
  <c r="E25" i="21"/>
  <c r="D25" i="21"/>
  <c r="F25" i="21" s="1"/>
  <c r="I24" i="21"/>
  <c r="G24" i="21"/>
  <c r="E24" i="21"/>
  <c r="D24" i="21"/>
  <c r="F24" i="21" s="1"/>
  <c r="I23" i="21"/>
  <c r="G23" i="21"/>
  <c r="E23" i="21"/>
  <c r="D23" i="21"/>
  <c r="F23" i="21" s="1"/>
  <c r="I22" i="21"/>
  <c r="G22" i="21"/>
  <c r="K22" i="21" s="1"/>
  <c r="E22" i="21"/>
  <c r="F22" i="21" s="1"/>
  <c r="D22" i="21"/>
  <c r="I21" i="21"/>
  <c r="G21" i="21"/>
  <c r="F21" i="21"/>
  <c r="E21" i="21"/>
  <c r="D21" i="21"/>
  <c r="K20" i="21"/>
  <c r="I20" i="21"/>
  <c r="G20" i="21"/>
  <c r="E20" i="21"/>
  <c r="D20" i="21"/>
  <c r="I19" i="21"/>
  <c r="G19" i="21"/>
  <c r="E19" i="21"/>
  <c r="D19" i="21"/>
  <c r="I18" i="21"/>
  <c r="G18" i="21"/>
  <c r="E18" i="21"/>
  <c r="F18" i="21" s="1"/>
  <c r="D18" i="21"/>
  <c r="K17" i="21"/>
  <c r="I17" i="21"/>
  <c r="G17" i="21"/>
  <c r="F17" i="21"/>
  <c r="E17" i="21"/>
  <c r="D17" i="21"/>
  <c r="I16" i="21"/>
  <c r="G16" i="21"/>
  <c r="E16" i="21"/>
  <c r="D16" i="21"/>
  <c r="F16" i="21" s="1"/>
  <c r="I15" i="21"/>
  <c r="K15" i="21" s="1"/>
  <c r="G15" i="21"/>
  <c r="E15" i="21"/>
  <c r="D15" i="21"/>
  <c r="F15" i="21" s="1"/>
  <c r="I14" i="21"/>
  <c r="G14" i="21"/>
  <c r="E14" i="21"/>
  <c r="F14" i="21" s="1"/>
  <c r="D14" i="21"/>
  <c r="I13" i="21"/>
  <c r="G13" i="21"/>
  <c r="F13" i="21"/>
  <c r="E13" i="21"/>
  <c r="D13" i="21"/>
  <c r="K12" i="21"/>
  <c r="I12" i="21"/>
  <c r="G12" i="21"/>
  <c r="E12" i="21"/>
  <c r="D12" i="21"/>
  <c r="F12" i="21" s="1"/>
  <c r="I11" i="21"/>
  <c r="G11" i="21"/>
  <c r="K11" i="21" s="1"/>
  <c r="E11" i="21"/>
  <c r="D11" i="21"/>
  <c r="F11" i="21" s="1"/>
  <c r="I10" i="21"/>
  <c r="G10" i="21"/>
  <c r="E10" i="21"/>
  <c r="F10" i="21" s="1"/>
  <c r="D10" i="21"/>
  <c r="K9" i="21"/>
  <c r="I9" i="21"/>
  <c r="G9" i="21"/>
  <c r="E9" i="21"/>
  <c r="D9" i="21"/>
  <c r="F9" i="21" s="1"/>
  <c r="K19" i="21" l="1"/>
  <c r="G43" i="21"/>
  <c r="K10" i="21"/>
  <c r="K28" i="21"/>
  <c r="K30" i="21"/>
  <c r="F37" i="21"/>
  <c r="K25" i="21"/>
  <c r="K27" i="21"/>
  <c r="E43" i="21"/>
  <c r="I43" i="21"/>
  <c r="F20" i="21"/>
  <c r="F29" i="21"/>
  <c r="K32" i="21"/>
  <c r="F34" i="21"/>
  <c r="F39" i="21"/>
  <c r="K42" i="21"/>
  <c r="K18" i="21"/>
  <c r="K34" i="21"/>
  <c r="K37" i="21"/>
  <c r="K14" i="21"/>
  <c r="F19" i="21"/>
  <c r="F43" i="21" s="1"/>
  <c r="K23" i="21"/>
  <c r="F35" i="21"/>
  <c r="D43" i="21"/>
  <c r="K13" i="21"/>
  <c r="K29" i="21"/>
  <c r="K16" i="21"/>
  <c r="K21" i="21"/>
  <c r="K24" i="21"/>
  <c r="K43" i="21" l="1"/>
  <c r="S9" i="16" l="1"/>
  <c r="S10" i="16"/>
  <c r="S11" i="16"/>
  <c r="S12" i="16"/>
  <c r="S13" i="16"/>
  <c r="S14" i="16"/>
  <c r="S15" i="16"/>
  <c r="S16" i="16"/>
  <c r="S17" i="16"/>
  <c r="S18" i="16"/>
  <c r="S19" i="16"/>
  <c r="S20" i="16"/>
  <c r="S21" i="16"/>
  <c r="S22" i="16"/>
  <c r="S23" i="16"/>
  <c r="S24" i="16"/>
  <c r="S25" i="16"/>
  <c r="S26" i="16"/>
  <c r="S27" i="16"/>
  <c r="S28" i="16"/>
  <c r="S29" i="16"/>
  <c r="S30" i="16"/>
  <c r="S31" i="16"/>
  <c r="S32" i="16"/>
  <c r="S33" i="16"/>
  <c r="S34" i="16"/>
  <c r="S35" i="16"/>
  <c r="S36" i="16"/>
  <c r="S37" i="16"/>
  <c r="S38" i="16"/>
  <c r="S39" i="16"/>
  <c r="W39" i="16" s="1"/>
  <c r="S40" i="16"/>
  <c r="S41" i="16"/>
  <c r="W38" i="16"/>
  <c r="W40" i="16"/>
  <c r="W41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U30" i="16"/>
  <c r="U31" i="16"/>
  <c r="U32" i="16"/>
  <c r="U33" i="16"/>
  <c r="U34" i="16"/>
  <c r="U35" i="16"/>
  <c r="U36" i="16"/>
  <c r="U37" i="16"/>
  <c r="U38" i="16"/>
  <c r="U39" i="16"/>
  <c r="U40" i="16"/>
  <c r="U41" i="16"/>
  <c r="U8" i="16"/>
  <c r="S8" i="16"/>
  <c r="W35" i="16" l="1"/>
  <c r="W22" i="16"/>
  <c r="W27" i="16"/>
  <c r="W19" i="16"/>
  <c r="W11" i="16"/>
  <c r="W10" i="16"/>
  <c r="W30" i="16"/>
  <c r="W14" i="16"/>
  <c r="W33" i="16"/>
  <c r="W25" i="16"/>
  <c r="W17" i="16"/>
  <c r="W9" i="16"/>
  <c r="W32" i="16"/>
  <c r="W24" i="16"/>
  <c r="W16" i="16"/>
  <c r="W31" i="16"/>
  <c r="W15" i="16"/>
  <c r="W37" i="16"/>
  <c r="W29" i="16"/>
  <c r="W13" i="16"/>
  <c r="W36" i="16"/>
  <c r="W28" i="16"/>
  <c r="W12" i="16"/>
  <c r="W21" i="16"/>
  <c r="W20" i="16"/>
  <c r="W34" i="16"/>
  <c r="W26" i="16"/>
  <c r="W18" i="16"/>
  <c r="W23" i="16"/>
  <c r="D10" i="20"/>
  <c r="E10" i="20"/>
  <c r="F10" i="20"/>
  <c r="G10" i="20"/>
  <c r="D11" i="20"/>
  <c r="H11" i="20" s="1"/>
  <c r="E11" i="20"/>
  <c r="F11" i="20"/>
  <c r="G11" i="20"/>
  <c r="D12" i="20"/>
  <c r="E12" i="20"/>
  <c r="F12" i="20"/>
  <c r="G12" i="20"/>
  <c r="D13" i="20"/>
  <c r="E13" i="20"/>
  <c r="F13" i="20"/>
  <c r="G13" i="20"/>
  <c r="D14" i="20"/>
  <c r="E14" i="20"/>
  <c r="F14" i="20"/>
  <c r="G14" i="20"/>
  <c r="D15" i="20"/>
  <c r="H15" i="20" s="1"/>
  <c r="E15" i="20"/>
  <c r="F15" i="20"/>
  <c r="G15" i="20"/>
  <c r="D16" i="20"/>
  <c r="H16" i="20" s="1"/>
  <c r="E16" i="20"/>
  <c r="F16" i="20"/>
  <c r="G16" i="20"/>
  <c r="D17" i="20"/>
  <c r="E17" i="20"/>
  <c r="F17" i="20"/>
  <c r="G17" i="20"/>
  <c r="D18" i="20"/>
  <c r="E18" i="20"/>
  <c r="F18" i="20"/>
  <c r="G18" i="20"/>
  <c r="D19" i="20"/>
  <c r="E19" i="20"/>
  <c r="F19" i="20"/>
  <c r="G19" i="20"/>
  <c r="D20" i="20"/>
  <c r="H20" i="20" s="1"/>
  <c r="E20" i="20"/>
  <c r="F20" i="20"/>
  <c r="G20" i="20"/>
  <c r="D21" i="20"/>
  <c r="E21" i="20"/>
  <c r="F21" i="20"/>
  <c r="G21" i="20"/>
  <c r="D22" i="20"/>
  <c r="E22" i="20"/>
  <c r="F22" i="20"/>
  <c r="G22" i="20"/>
  <c r="D23" i="20"/>
  <c r="H23" i="20" s="1"/>
  <c r="E23" i="20"/>
  <c r="F23" i="20"/>
  <c r="G23" i="20"/>
  <c r="D24" i="20"/>
  <c r="H24" i="20" s="1"/>
  <c r="E24" i="20"/>
  <c r="F24" i="20"/>
  <c r="G24" i="20"/>
  <c r="D25" i="20"/>
  <c r="E25" i="20"/>
  <c r="F25" i="20"/>
  <c r="G25" i="20"/>
  <c r="D26" i="20"/>
  <c r="E26" i="20"/>
  <c r="F26" i="20"/>
  <c r="G26" i="20"/>
  <c r="D27" i="20"/>
  <c r="H27" i="20" s="1"/>
  <c r="E27" i="20"/>
  <c r="F27" i="20"/>
  <c r="G27" i="20"/>
  <c r="D28" i="20"/>
  <c r="E28" i="20"/>
  <c r="F28" i="20"/>
  <c r="G28" i="20"/>
  <c r="D29" i="20"/>
  <c r="E29" i="20"/>
  <c r="F29" i="20"/>
  <c r="G29" i="20"/>
  <c r="D30" i="20"/>
  <c r="E30" i="20"/>
  <c r="F30" i="20"/>
  <c r="G30" i="20"/>
  <c r="D31" i="20"/>
  <c r="E31" i="20"/>
  <c r="F31" i="20"/>
  <c r="G31" i="20"/>
  <c r="D32" i="20"/>
  <c r="E32" i="20"/>
  <c r="F32" i="20"/>
  <c r="G32" i="20"/>
  <c r="D33" i="20"/>
  <c r="H33" i="20" s="1"/>
  <c r="E33" i="20"/>
  <c r="F33" i="20"/>
  <c r="G33" i="20"/>
  <c r="D34" i="20"/>
  <c r="E34" i="20"/>
  <c r="F34" i="20"/>
  <c r="G34" i="20"/>
  <c r="D35" i="20"/>
  <c r="H35" i="20" s="1"/>
  <c r="E35" i="20"/>
  <c r="F35" i="20"/>
  <c r="G35" i="20"/>
  <c r="D36" i="20"/>
  <c r="E36" i="20"/>
  <c r="F36" i="20"/>
  <c r="G36" i="20"/>
  <c r="D37" i="20"/>
  <c r="E37" i="20"/>
  <c r="F37" i="20"/>
  <c r="G37" i="20"/>
  <c r="D38" i="20"/>
  <c r="E38" i="20"/>
  <c r="F38" i="20"/>
  <c r="G38" i="20"/>
  <c r="D39" i="20"/>
  <c r="E39" i="20"/>
  <c r="F39" i="20"/>
  <c r="G39" i="20"/>
  <c r="D40" i="20"/>
  <c r="H40" i="20" s="1"/>
  <c r="E40" i="20"/>
  <c r="F40" i="20"/>
  <c r="G40" i="20"/>
  <c r="D41" i="20"/>
  <c r="E41" i="20"/>
  <c r="F41" i="20"/>
  <c r="G41" i="20"/>
  <c r="D42" i="20"/>
  <c r="E42" i="20"/>
  <c r="F42" i="20"/>
  <c r="H42" i="20" s="1"/>
  <c r="G42" i="20"/>
  <c r="E9" i="20"/>
  <c r="F9" i="20"/>
  <c r="G9" i="20"/>
  <c r="D9" i="20"/>
  <c r="H12" i="20"/>
  <c r="H32" i="20"/>
  <c r="H28" i="20"/>
  <c r="H34" i="20" l="1"/>
  <c r="I39" i="20"/>
  <c r="H39" i="20"/>
  <c r="H19" i="20"/>
  <c r="H41" i="20"/>
  <c r="H9" i="20"/>
  <c r="I17" i="20"/>
  <c r="I11" i="20"/>
  <c r="I20" i="20"/>
  <c r="I29" i="20"/>
  <c r="I32" i="20"/>
  <c r="I34" i="20"/>
  <c r="I40" i="20"/>
  <c r="I22" i="20"/>
  <c r="I41" i="20"/>
  <c r="I12" i="20"/>
  <c r="I21" i="20"/>
  <c r="I23" i="20"/>
  <c r="I31" i="20"/>
  <c r="I14" i="20"/>
  <c r="I24" i="20"/>
  <c r="I13" i="20"/>
  <c r="I15" i="20"/>
  <c r="I26" i="20"/>
  <c r="I38" i="20"/>
  <c r="I16" i="20"/>
  <c r="I25" i="20"/>
  <c r="I27" i="20"/>
  <c r="I18" i="20"/>
  <c r="I28" i="20"/>
  <c r="I10" i="20"/>
  <c r="I19" i="20"/>
  <c r="I33" i="20"/>
  <c r="I35" i="20"/>
  <c r="H36" i="20"/>
  <c r="I42" i="20"/>
  <c r="H13" i="20"/>
  <c r="H17" i="20"/>
  <c r="H21" i="20"/>
  <c r="H25" i="20"/>
  <c r="H29" i="20"/>
  <c r="I36" i="20"/>
  <c r="H37" i="20"/>
  <c r="H30" i="20"/>
  <c r="I37" i="20"/>
  <c r="H10" i="20"/>
  <c r="H14" i="20"/>
  <c r="H18" i="20"/>
  <c r="H22" i="20"/>
  <c r="H26" i="20"/>
  <c r="I30" i="20"/>
  <c r="H31" i="20"/>
  <c r="H38" i="20"/>
  <c r="D43" i="20"/>
  <c r="I10" i="19"/>
  <c r="I11" i="19"/>
  <c r="I12" i="19"/>
  <c r="I13" i="19"/>
  <c r="I14" i="19"/>
  <c r="I15" i="19"/>
  <c r="J15" i="19" s="1"/>
  <c r="I16" i="19"/>
  <c r="I17" i="19"/>
  <c r="I18" i="19"/>
  <c r="I19" i="19"/>
  <c r="I20" i="19"/>
  <c r="I21" i="19"/>
  <c r="I22" i="19"/>
  <c r="I23" i="19"/>
  <c r="J23" i="19" s="1"/>
  <c r="I24" i="19"/>
  <c r="I25" i="19"/>
  <c r="I26" i="19"/>
  <c r="I27" i="19"/>
  <c r="I28" i="19"/>
  <c r="I29" i="19"/>
  <c r="I30" i="19"/>
  <c r="I31" i="19"/>
  <c r="J31" i="19" s="1"/>
  <c r="I32" i="19"/>
  <c r="J32" i="19" s="1"/>
  <c r="I33" i="19"/>
  <c r="I34" i="19"/>
  <c r="I35" i="19"/>
  <c r="I36" i="19"/>
  <c r="I37" i="19"/>
  <c r="I38" i="19"/>
  <c r="I39" i="19"/>
  <c r="J39" i="19" s="1"/>
  <c r="I40" i="19"/>
  <c r="I41" i="19"/>
  <c r="I42" i="19"/>
  <c r="I9" i="19"/>
  <c r="G10" i="19"/>
  <c r="G11" i="19"/>
  <c r="G12" i="19"/>
  <c r="G13" i="19"/>
  <c r="G14" i="19"/>
  <c r="H14" i="19" s="1"/>
  <c r="G15" i="19"/>
  <c r="G16" i="19"/>
  <c r="G17" i="19"/>
  <c r="G18" i="19"/>
  <c r="G19" i="19"/>
  <c r="G20" i="19"/>
  <c r="G21" i="19"/>
  <c r="G22" i="19"/>
  <c r="H22" i="19" s="1"/>
  <c r="G23" i="19"/>
  <c r="G24" i="19"/>
  <c r="G25" i="19"/>
  <c r="G26" i="19"/>
  <c r="G27" i="19"/>
  <c r="G28" i="19"/>
  <c r="G29" i="19"/>
  <c r="G30" i="19"/>
  <c r="K30" i="19" s="1"/>
  <c r="G31" i="19"/>
  <c r="G32" i="19"/>
  <c r="G33" i="19"/>
  <c r="K33" i="19" s="1"/>
  <c r="G34" i="19"/>
  <c r="K34" i="19" s="1"/>
  <c r="G35" i="19"/>
  <c r="G36" i="19"/>
  <c r="K36" i="19" s="1"/>
  <c r="G37" i="19"/>
  <c r="K37" i="19" s="1"/>
  <c r="G38" i="19"/>
  <c r="H38" i="19" s="1"/>
  <c r="G39" i="19"/>
  <c r="G40" i="19"/>
  <c r="G41" i="19"/>
  <c r="G42" i="19"/>
  <c r="K42" i="19" s="1"/>
  <c r="G9" i="19"/>
  <c r="D10" i="19"/>
  <c r="E10" i="19"/>
  <c r="D11" i="19"/>
  <c r="E11" i="19"/>
  <c r="D12" i="19"/>
  <c r="E12" i="19"/>
  <c r="D13" i="19"/>
  <c r="F13" i="19" s="1"/>
  <c r="E13" i="19"/>
  <c r="D14" i="19"/>
  <c r="E14" i="19"/>
  <c r="F14" i="19" s="1"/>
  <c r="D15" i="19"/>
  <c r="F15" i="19" s="1"/>
  <c r="E15" i="19"/>
  <c r="D16" i="19"/>
  <c r="E16" i="19"/>
  <c r="D17" i="19"/>
  <c r="E17" i="19"/>
  <c r="D18" i="19"/>
  <c r="E18" i="19"/>
  <c r="F18" i="19" s="1"/>
  <c r="D19" i="19"/>
  <c r="F19" i="19" s="1"/>
  <c r="E19" i="19"/>
  <c r="D20" i="19"/>
  <c r="E20" i="19"/>
  <c r="D21" i="19"/>
  <c r="F21" i="19" s="1"/>
  <c r="E21" i="19"/>
  <c r="D22" i="19"/>
  <c r="E22" i="19"/>
  <c r="D23" i="19"/>
  <c r="F23" i="19" s="1"/>
  <c r="E23" i="19"/>
  <c r="D24" i="19"/>
  <c r="E24" i="19"/>
  <c r="D25" i="19"/>
  <c r="F25" i="19" s="1"/>
  <c r="E25" i="19"/>
  <c r="D26" i="19"/>
  <c r="E26" i="19"/>
  <c r="D27" i="19"/>
  <c r="F27" i="19" s="1"/>
  <c r="E27" i="19"/>
  <c r="D28" i="19"/>
  <c r="E28" i="19"/>
  <c r="D29" i="19"/>
  <c r="F29" i="19" s="1"/>
  <c r="E29" i="19"/>
  <c r="D30" i="19"/>
  <c r="E30" i="19"/>
  <c r="F30" i="19" s="1"/>
  <c r="D31" i="19"/>
  <c r="F31" i="19" s="1"/>
  <c r="E31" i="19"/>
  <c r="D32" i="19"/>
  <c r="E32" i="19"/>
  <c r="D33" i="19"/>
  <c r="F33" i="19" s="1"/>
  <c r="E33" i="19"/>
  <c r="D34" i="19"/>
  <c r="E34" i="19"/>
  <c r="F34" i="19" s="1"/>
  <c r="D35" i="19"/>
  <c r="F35" i="19" s="1"/>
  <c r="E35" i="19"/>
  <c r="D36" i="19"/>
  <c r="F36" i="19" s="1"/>
  <c r="E36" i="19"/>
  <c r="D37" i="19"/>
  <c r="F37" i="19" s="1"/>
  <c r="E37" i="19"/>
  <c r="D38" i="19"/>
  <c r="E38" i="19"/>
  <c r="F38" i="19" s="1"/>
  <c r="D39" i="19"/>
  <c r="F39" i="19" s="1"/>
  <c r="E39" i="19"/>
  <c r="D40" i="19"/>
  <c r="E40" i="19"/>
  <c r="D41" i="19"/>
  <c r="F41" i="19" s="1"/>
  <c r="E41" i="19"/>
  <c r="D42" i="19"/>
  <c r="E42" i="19"/>
  <c r="E9" i="19"/>
  <c r="D9" i="19"/>
  <c r="K11" i="19"/>
  <c r="K12" i="19"/>
  <c r="K17" i="19"/>
  <c r="K19" i="19"/>
  <c r="K25" i="19"/>
  <c r="K29" i="19"/>
  <c r="K35" i="19"/>
  <c r="L35" i="19" s="1"/>
  <c r="K41" i="19"/>
  <c r="F32" i="19"/>
  <c r="F24" i="19"/>
  <c r="F20" i="19"/>
  <c r="F17" i="19"/>
  <c r="F12" i="19"/>
  <c r="E22" i="17"/>
  <c r="D22" i="17"/>
  <c r="E31" i="4"/>
  <c r="D31" i="4"/>
  <c r="L30" i="19" l="1"/>
  <c r="L37" i="19"/>
  <c r="F22" i="19"/>
  <c r="F10" i="19"/>
  <c r="L36" i="19"/>
  <c r="L19" i="19"/>
  <c r="L34" i="19"/>
  <c r="H26" i="19"/>
  <c r="H10" i="19"/>
  <c r="J36" i="19"/>
  <c r="J28" i="19"/>
  <c r="J20" i="19"/>
  <c r="J12" i="19"/>
  <c r="F28" i="19"/>
  <c r="J35" i="19"/>
  <c r="J27" i="19"/>
  <c r="J19" i="19"/>
  <c r="J11" i="19"/>
  <c r="F16" i="19"/>
  <c r="D43" i="19"/>
  <c r="K24" i="19"/>
  <c r="L24" i="19" s="1"/>
  <c r="J24" i="19"/>
  <c r="K16" i="19"/>
  <c r="L16" i="19" s="1"/>
  <c r="J16" i="19"/>
  <c r="K38" i="19"/>
  <c r="L38" i="19" s="1"/>
  <c r="K28" i="19"/>
  <c r="H29" i="19"/>
  <c r="H21" i="19"/>
  <c r="H13" i="19"/>
  <c r="K27" i="19"/>
  <c r="L27" i="19" s="1"/>
  <c r="K14" i="19"/>
  <c r="L14" i="19" s="1"/>
  <c r="H28" i="19"/>
  <c r="H20" i="19"/>
  <c r="H12" i="19"/>
  <c r="J38" i="19"/>
  <c r="J30" i="19"/>
  <c r="J22" i="19"/>
  <c r="J14" i="19"/>
  <c r="K26" i="19"/>
  <c r="K13" i="19"/>
  <c r="L13" i="19" s="1"/>
  <c r="H9" i="19"/>
  <c r="H27" i="19"/>
  <c r="H19" i="19"/>
  <c r="H11" i="19"/>
  <c r="J37" i="19"/>
  <c r="J29" i="19"/>
  <c r="J21" i="19"/>
  <c r="J13" i="19"/>
  <c r="L25" i="19"/>
  <c r="K22" i="19"/>
  <c r="L12" i="19"/>
  <c r="K18" i="19"/>
  <c r="L18" i="19" s="1"/>
  <c r="H18" i="19"/>
  <c r="L33" i="19"/>
  <c r="H25" i="19"/>
  <c r="H17" i="19"/>
  <c r="J9" i="19"/>
  <c r="K32" i="19"/>
  <c r="L32" i="19" s="1"/>
  <c r="K21" i="19"/>
  <c r="L21" i="19" s="1"/>
  <c r="K10" i="19"/>
  <c r="L10" i="19" s="1"/>
  <c r="H24" i="19"/>
  <c r="H16" i="19"/>
  <c r="J34" i="19"/>
  <c r="J26" i="19"/>
  <c r="J18" i="19"/>
  <c r="J10" i="19"/>
  <c r="I43" i="19"/>
  <c r="K20" i="19"/>
  <c r="L20" i="19" s="1"/>
  <c r="K39" i="19"/>
  <c r="L39" i="19" s="1"/>
  <c r="K31" i="19"/>
  <c r="L31" i="19" s="1"/>
  <c r="K23" i="19"/>
  <c r="L23" i="19" s="1"/>
  <c r="H23" i="19"/>
  <c r="K15" i="19"/>
  <c r="L15" i="19" s="1"/>
  <c r="H15" i="19"/>
  <c r="J33" i="19"/>
  <c r="J25" i="19"/>
  <c r="J17" i="19"/>
  <c r="L29" i="19"/>
  <c r="K40" i="19"/>
  <c r="J40" i="19"/>
  <c r="L17" i="19"/>
  <c r="I9" i="20"/>
  <c r="G43" i="19"/>
  <c r="H43" i="19" s="1"/>
  <c r="K9" i="19"/>
  <c r="L9" i="19" s="1"/>
  <c r="F40" i="19"/>
  <c r="F26" i="19"/>
  <c r="F42" i="19"/>
  <c r="F11" i="19"/>
  <c r="L11" i="19" s="1"/>
  <c r="E43" i="19"/>
  <c r="F9" i="19"/>
  <c r="L22" i="19" l="1"/>
  <c r="L28" i="19"/>
  <c r="L40" i="19"/>
  <c r="J43" i="19"/>
  <c r="L26" i="19"/>
  <c r="K43" i="19"/>
  <c r="F43" i="19"/>
  <c r="L43" i="19" l="1"/>
  <c r="E11" i="17"/>
  <c r="E12" i="17"/>
  <c r="F19" i="17"/>
  <c r="G19" i="17"/>
  <c r="F22" i="17"/>
  <c r="F23" i="17"/>
  <c r="G23" i="17"/>
  <c r="E15" i="17" l="1"/>
  <c r="G22" i="17"/>
  <c r="E13" i="17"/>
  <c r="C13" i="17" l="1"/>
  <c r="D12" i="17"/>
  <c r="D11" i="17"/>
  <c r="C11" i="17"/>
  <c r="F12" i="17" l="1"/>
  <c r="G12" i="17"/>
  <c r="D13" i="17"/>
  <c r="F13" i="17" s="1"/>
  <c r="G18" i="17"/>
  <c r="F18" i="17"/>
  <c r="F11" i="17"/>
  <c r="G11" i="17"/>
  <c r="G17" i="17"/>
  <c r="F17" i="17"/>
  <c r="F16" i="17"/>
  <c r="D15" i="17"/>
  <c r="G16" i="17"/>
  <c r="C15" i="17"/>
  <c r="G13" i="17"/>
  <c r="F15" i="17" l="1"/>
  <c r="G15" i="17"/>
  <c r="M9" i="9" l="1"/>
  <c r="K9" i="9"/>
  <c r="M21" i="9"/>
  <c r="K21" i="9"/>
  <c r="M16" i="9"/>
  <c r="M17" i="9"/>
  <c r="K16" i="9"/>
  <c r="K17" i="9"/>
  <c r="M15" i="9"/>
  <c r="K15" i="9"/>
  <c r="M12" i="9"/>
  <c r="M13" i="9"/>
  <c r="K13" i="9"/>
  <c r="K12" i="9"/>
  <c r="M11" i="9"/>
  <c r="K11" i="9"/>
  <c r="L29" i="13"/>
  <c r="O29" i="13" s="1"/>
  <c r="K29" i="13"/>
  <c r="L22" i="13"/>
  <c r="K22" i="13"/>
  <c r="L19" i="13"/>
  <c r="O19" i="13" s="1"/>
  <c r="K19" i="13"/>
  <c r="K17" i="13"/>
  <c r="L17" i="13"/>
  <c r="O17" i="13" s="1"/>
  <c r="K18" i="13"/>
  <c r="L18" i="13"/>
  <c r="K13" i="13"/>
  <c r="L13" i="13"/>
  <c r="O13" i="13" s="1"/>
  <c r="K14" i="13"/>
  <c r="L14" i="13"/>
  <c r="K15" i="13"/>
  <c r="L15" i="13"/>
  <c r="O15" i="13" s="1"/>
  <c r="K16" i="13"/>
  <c r="L16" i="13"/>
  <c r="L12" i="13"/>
  <c r="O12" i="13" s="1"/>
  <c r="K12" i="13"/>
  <c r="L11" i="13"/>
  <c r="O11" i="13" s="1"/>
  <c r="K11" i="13"/>
  <c r="L10" i="13"/>
  <c r="O10" i="13" s="1"/>
  <c r="K10" i="13"/>
  <c r="K20" i="13"/>
  <c r="L20" i="13"/>
  <c r="K21" i="13"/>
  <c r="L21" i="13"/>
  <c r="O21" i="13" s="1"/>
  <c r="O24" i="13"/>
  <c r="O26" i="13"/>
  <c r="M27" i="13"/>
  <c r="M28" i="13"/>
  <c r="K30" i="13"/>
  <c r="L30" i="13"/>
  <c r="K31" i="13"/>
  <c r="L31" i="13"/>
  <c r="O31" i="13" s="1"/>
  <c r="K32" i="13"/>
  <c r="O32" i="13"/>
  <c r="K33" i="13"/>
  <c r="K34" i="13"/>
  <c r="K35" i="13"/>
  <c r="L35" i="13"/>
  <c r="O35" i="13" s="1"/>
  <c r="K36" i="13"/>
  <c r="L36" i="13"/>
  <c r="O36" i="13" s="1"/>
  <c r="K37" i="13"/>
  <c r="L37" i="13"/>
  <c r="O37" i="13" s="1"/>
  <c r="K38" i="13"/>
  <c r="K40" i="13"/>
  <c r="O40" i="13"/>
  <c r="K41" i="13"/>
  <c r="K42" i="13"/>
  <c r="O42" i="13"/>
  <c r="K43" i="13"/>
  <c r="O43" i="13"/>
  <c r="O23" i="13"/>
  <c r="O25" i="13"/>
  <c r="O27" i="13"/>
  <c r="O28" i="13"/>
  <c r="O33" i="13"/>
  <c r="O34" i="13"/>
  <c r="O39" i="13"/>
  <c r="O41" i="13"/>
  <c r="M23" i="13"/>
  <c r="M24" i="13"/>
  <c r="M25" i="13"/>
  <c r="M26" i="13"/>
  <c r="M20" i="13" l="1"/>
  <c r="M12" i="13"/>
  <c r="M14" i="13"/>
  <c r="M17" i="13"/>
  <c r="M18" i="13"/>
  <c r="M21" i="13"/>
  <c r="M16" i="13"/>
  <c r="M37" i="13"/>
  <c r="M29" i="13"/>
  <c r="M22" i="13"/>
  <c r="M15" i="13"/>
  <c r="M35" i="13"/>
  <c r="M13" i="13"/>
  <c r="M36" i="13"/>
  <c r="O20" i="13"/>
  <c r="M30" i="13"/>
  <c r="O18" i="13"/>
  <c r="M11" i="13"/>
  <c r="O38" i="13"/>
  <c r="O22" i="13"/>
  <c r="M31" i="13"/>
  <c r="M19" i="13"/>
  <c r="O16" i="13"/>
  <c r="O30" i="13"/>
  <c r="O14" i="13"/>
  <c r="M10" i="13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10" i="11"/>
  <c r="C20" i="17" l="1"/>
  <c r="C21" i="17" s="1"/>
  <c r="D44" i="11"/>
  <c r="C14" i="17" l="1"/>
  <c r="C24" i="17" s="1"/>
  <c r="C25" i="17" s="1"/>
  <c r="F11" i="13"/>
  <c r="G11" i="13"/>
  <c r="F12" i="13"/>
  <c r="G12" i="13"/>
  <c r="F13" i="13"/>
  <c r="G13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1" i="13"/>
  <c r="G21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G29" i="13"/>
  <c r="F30" i="13"/>
  <c r="G30" i="13"/>
  <c r="F31" i="13"/>
  <c r="G31" i="13"/>
  <c r="F32" i="13"/>
  <c r="G32" i="13"/>
  <c r="F33" i="13"/>
  <c r="G33" i="13"/>
  <c r="F34" i="13"/>
  <c r="G34" i="13"/>
  <c r="F35" i="13"/>
  <c r="G35" i="13"/>
  <c r="F36" i="13"/>
  <c r="G36" i="13"/>
  <c r="F37" i="13"/>
  <c r="G37" i="13"/>
  <c r="F38" i="13"/>
  <c r="G38" i="13"/>
  <c r="F39" i="13"/>
  <c r="G39" i="13"/>
  <c r="F40" i="13"/>
  <c r="G40" i="13"/>
  <c r="F41" i="13"/>
  <c r="G41" i="13"/>
  <c r="F42" i="13"/>
  <c r="G42" i="13"/>
  <c r="F43" i="13"/>
  <c r="G43" i="13"/>
  <c r="G10" i="13"/>
  <c r="F10" i="13"/>
  <c r="M38" i="9"/>
  <c r="M39" i="9"/>
  <c r="S39" i="9" s="1"/>
  <c r="M41" i="9"/>
  <c r="S41" i="9" s="1"/>
  <c r="M42" i="9"/>
  <c r="S42" i="9" s="1"/>
  <c r="K10" i="9"/>
  <c r="K14" i="9"/>
  <c r="K18" i="9"/>
  <c r="K19" i="9"/>
  <c r="K20" i="9"/>
  <c r="K22" i="9"/>
  <c r="K23" i="9"/>
  <c r="K24" i="9"/>
  <c r="K25" i="9"/>
  <c r="K26" i="9"/>
  <c r="K27" i="9"/>
  <c r="K28" i="9"/>
  <c r="K29" i="9"/>
  <c r="K38" i="9"/>
  <c r="M40" i="9"/>
  <c r="S40" i="9" s="1"/>
  <c r="M10" i="9"/>
  <c r="M14" i="9"/>
  <c r="M18" i="9"/>
  <c r="M19" i="9"/>
  <c r="M20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K39" i="16" l="1"/>
  <c r="K40" i="16"/>
  <c r="K38" i="16"/>
  <c r="K41" i="16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7" i="4"/>
  <c r="H11" i="13" l="1"/>
  <c r="H14" i="13"/>
  <c r="H15" i="13"/>
  <c r="I15" i="13"/>
  <c r="J15" i="13" s="1"/>
  <c r="N15" i="13" s="1"/>
  <c r="P15" i="13" s="1"/>
  <c r="H18" i="13"/>
  <c r="I19" i="13"/>
  <c r="J19" i="13" s="1"/>
  <c r="N19" i="13" s="1"/>
  <c r="P19" i="13" s="1"/>
  <c r="H22" i="13"/>
  <c r="H23" i="13"/>
  <c r="I23" i="13"/>
  <c r="J23" i="13" s="1"/>
  <c r="N23" i="13" s="1"/>
  <c r="P23" i="13" s="1"/>
  <c r="H30" i="13"/>
  <c r="H31" i="13"/>
  <c r="I31" i="13"/>
  <c r="J31" i="13" s="1"/>
  <c r="N31" i="13" s="1"/>
  <c r="P31" i="13" s="1"/>
  <c r="H35" i="13"/>
  <c r="I35" i="13"/>
  <c r="J35" i="13" s="1"/>
  <c r="N35" i="13" s="1"/>
  <c r="P35" i="13" s="1"/>
  <c r="H38" i="13"/>
  <c r="H39" i="13"/>
  <c r="I39" i="13"/>
  <c r="J39" i="13" s="1"/>
  <c r="N39" i="13" s="1"/>
  <c r="P39" i="13" s="1"/>
  <c r="H42" i="13"/>
  <c r="H43" i="13"/>
  <c r="I43" i="13"/>
  <c r="J43" i="13" s="1"/>
  <c r="N43" i="13" s="1"/>
  <c r="P43" i="13" s="1"/>
  <c r="H13" i="13"/>
  <c r="I13" i="13"/>
  <c r="J13" i="13" s="1"/>
  <c r="N13" i="13" s="1"/>
  <c r="P13" i="13" s="1"/>
  <c r="H17" i="13"/>
  <c r="I17" i="13"/>
  <c r="J17" i="13" s="1"/>
  <c r="N17" i="13" s="1"/>
  <c r="P17" i="13" s="1"/>
  <c r="H21" i="13"/>
  <c r="I21" i="13"/>
  <c r="J21" i="13" s="1"/>
  <c r="N21" i="13" s="1"/>
  <c r="P21" i="13" s="1"/>
  <c r="H25" i="13"/>
  <c r="I25" i="13"/>
  <c r="J25" i="13" s="1"/>
  <c r="N25" i="13" s="1"/>
  <c r="P25" i="13" s="1"/>
  <c r="I27" i="13"/>
  <c r="J27" i="13" s="1"/>
  <c r="N27" i="13" s="1"/>
  <c r="P27" i="13" s="1"/>
  <c r="H29" i="13"/>
  <c r="I29" i="13"/>
  <c r="J29" i="13" s="1"/>
  <c r="N29" i="13" s="1"/>
  <c r="P29" i="13" s="1"/>
  <c r="H33" i="13"/>
  <c r="I33" i="13"/>
  <c r="J33" i="13" s="1"/>
  <c r="N33" i="13" s="1"/>
  <c r="P33" i="13" s="1"/>
  <c r="H37" i="13"/>
  <c r="I37" i="13"/>
  <c r="J37" i="13" s="1"/>
  <c r="N37" i="13" s="1"/>
  <c r="P37" i="13" s="1"/>
  <c r="H41" i="13"/>
  <c r="I41" i="13"/>
  <c r="J41" i="13" s="1"/>
  <c r="N41" i="13" s="1"/>
  <c r="P41" i="13" s="1"/>
  <c r="H12" i="13"/>
  <c r="I12" i="13"/>
  <c r="J12" i="13" s="1"/>
  <c r="N12" i="13" s="1"/>
  <c r="P12" i="13" s="1"/>
  <c r="I14" i="13"/>
  <c r="J14" i="13" s="1"/>
  <c r="N14" i="13" s="1"/>
  <c r="P14" i="13" s="1"/>
  <c r="H16" i="13"/>
  <c r="I16" i="13"/>
  <c r="J16" i="13" s="1"/>
  <c r="N16" i="13" s="1"/>
  <c r="P16" i="13" s="1"/>
  <c r="H19" i="13"/>
  <c r="H20" i="13"/>
  <c r="I20" i="13"/>
  <c r="J20" i="13" s="1"/>
  <c r="N20" i="13" s="1"/>
  <c r="P20" i="13" s="1"/>
  <c r="I22" i="13"/>
  <c r="J22" i="13" s="1"/>
  <c r="N22" i="13" s="1"/>
  <c r="P22" i="13" s="1"/>
  <c r="H24" i="13"/>
  <c r="I24" i="13"/>
  <c r="J24" i="13" s="1"/>
  <c r="N24" i="13" s="1"/>
  <c r="P24" i="13" s="1"/>
  <c r="H26" i="13"/>
  <c r="H27" i="13"/>
  <c r="H28" i="13"/>
  <c r="I28" i="13"/>
  <c r="J28" i="13" s="1"/>
  <c r="N28" i="13" s="1"/>
  <c r="P28" i="13" s="1"/>
  <c r="I30" i="13"/>
  <c r="J30" i="13" s="1"/>
  <c r="N30" i="13" s="1"/>
  <c r="P30" i="13" s="1"/>
  <c r="H32" i="13"/>
  <c r="I32" i="13"/>
  <c r="J32" i="13" s="1"/>
  <c r="N32" i="13" s="1"/>
  <c r="P32" i="13" s="1"/>
  <c r="H34" i="13"/>
  <c r="H36" i="13"/>
  <c r="I36" i="13"/>
  <c r="J36" i="13" s="1"/>
  <c r="N36" i="13" s="1"/>
  <c r="P36" i="13" s="1"/>
  <c r="I38" i="13"/>
  <c r="J38" i="13" s="1"/>
  <c r="N38" i="13" s="1"/>
  <c r="P38" i="13" s="1"/>
  <c r="H40" i="13"/>
  <c r="I40" i="13"/>
  <c r="J40" i="13" s="1"/>
  <c r="N40" i="13" s="1"/>
  <c r="P40" i="13" s="1"/>
  <c r="H10" i="13"/>
  <c r="D44" i="13"/>
  <c r="I11" i="13" l="1"/>
  <c r="J11" i="13" s="1"/>
  <c r="N11" i="13" s="1"/>
  <c r="P11" i="13" s="1"/>
  <c r="I10" i="13"/>
  <c r="I42" i="13"/>
  <c r="J42" i="13" s="1"/>
  <c r="N42" i="13" s="1"/>
  <c r="P42" i="13" s="1"/>
  <c r="I34" i="13"/>
  <c r="J34" i="13" s="1"/>
  <c r="N34" i="13" s="1"/>
  <c r="P34" i="13" s="1"/>
  <c r="I26" i="13"/>
  <c r="J26" i="13" s="1"/>
  <c r="N26" i="13" s="1"/>
  <c r="P26" i="13" s="1"/>
  <c r="I18" i="13"/>
  <c r="J18" i="13" s="1"/>
  <c r="N18" i="13" s="1"/>
  <c r="P18" i="13" s="1"/>
  <c r="J10" i="13" l="1"/>
  <c r="N10" i="13" l="1"/>
  <c r="P10" i="13" s="1"/>
  <c r="N11" i="9"/>
  <c r="N13" i="9"/>
  <c r="O13" i="9"/>
  <c r="N15" i="9"/>
  <c r="N17" i="9"/>
  <c r="O17" i="9"/>
  <c r="N19" i="9"/>
  <c r="O19" i="9"/>
  <c r="N21" i="9"/>
  <c r="O21" i="9"/>
  <c r="N23" i="9"/>
  <c r="N25" i="9"/>
  <c r="O25" i="9"/>
  <c r="N27" i="9"/>
  <c r="O27" i="9"/>
  <c r="N29" i="9"/>
  <c r="O29" i="9"/>
  <c r="N31" i="9"/>
  <c r="O31" i="9"/>
  <c r="N33" i="9"/>
  <c r="O33" i="9"/>
  <c r="N35" i="9"/>
  <c r="O35" i="9"/>
  <c r="N37" i="9"/>
  <c r="O37" i="9"/>
  <c r="N39" i="9"/>
  <c r="O39" i="9"/>
  <c r="N41" i="9"/>
  <c r="O41" i="9"/>
  <c r="N9" i="9"/>
  <c r="O9" i="9"/>
  <c r="N10" i="9"/>
  <c r="O11" i="9"/>
  <c r="N12" i="9"/>
  <c r="O12" i="9"/>
  <c r="N14" i="9"/>
  <c r="O14" i="9"/>
  <c r="O15" i="9"/>
  <c r="N16" i="9"/>
  <c r="O16" i="9"/>
  <c r="N18" i="9"/>
  <c r="O18" i="9"/>
  <c r="N20" i="9"/>
  <c r="O20" i="9"/>
  <c r="N22" i="9"/>
  <c r="O22" i="9"/>
  <c r="O23" i="9"/>
  <c r="N24" i="9"/>
  <c r="O24" i="9"/>
  <c r="N26" i="9"/>
  <c r="O26" i="9"/>
  <c r="N28" i="9"/>
  <c r="O28" i="9"/>
  <c r="N30" i="9"/>
  <c r="O30" i="9"/>
  <c r="N32" i="9"/>
  <c r="O32" i="9"/>
  <c r="N34" i="9"/>
  <c r="O34" i="9"/>
  <c r="N36" i="9"/>
  <c r="O36" i="9"/>
  <c r="N38" i="9"/>
  <c r="O38" i="9"/>
  <c r="N40" i="9"/>
  <c r="O40" i="9"/>
  <c r="N42" i="9"/>
  <c r="O42" i="9"/>
  <c r="O10" i="9" l="1"/>
  <c r="D43" i="9" l="1"/>
  <c r="Q42" i="9"/>
  <c r="J41" i="16" s="1"/>
  <c r="P42" i="9"/>
  <c r="D41" i="16" s="1"/>
  <c r="I42" i="9"/>
  <c r="H42" i="9"/>
  <c r="R41" i="9"/>
  <c r="Q41" i="9"/>
  <c r="J40" i="16" s="1"/>
  <c r="P41" i="9"/>
  <c r="D40" i="16" s="1"/>
  <c r="I41" i="9"/>
  <c r="H41" i="9"/>
  <c r="P40" i="9"/>
  <c r="D39" i="16" s="1"/>
  <c r="I40" i="9"/>
  <c r="H40" i="9"/>
  <c r="R39" i="9"/>
  <c r="Q39" i="9"/>
  <c r="J38" i="16" s="1"/>
  <c r="I39" i="9"/>
  <c r="H39" i="9"/>
  <c r="S38" i="9"/>
  <c r="Q38" i="9"/>
  <c r="P38" i="9"/>
  <c r="D37" i="16" s="1"/>
  <c r="I38" i="9"/>
  <c r="H38" i="9"/>
  <c r="S37" i="9"/>
  <c r="R37" i="9"/>
  <c r="F36" i="16" s="1"/>
  <c r="P37" i="9"/>
  <c r="D36" i="16" s="1"/>
  <c r="I37" i="9"/>
  <c r="H37" i="9"/>
  <c r="S36" i="9"/>
  <c r="P36" i="9"/>
  <c r="D35" i="16" s="1"/>
  <c r="I36" i="9"/>
  <c r="H36" i="9"/>
  <c r="S35" i="9"/>
  <c r="R35" i="9"/>
  <c r="F34" i="16" s="1"/>
  <c r="Q35" i="9"/>
  <c r="J34" i="16" s="1"/>
  <c r="I35" i="9"/>
  <c r="H35" i="9"/>
  <c r="S34" i="9"/>
  <c r="Q34" i="9"/>
  <c r="J33" i="16" s="1"/>
  <c r="P34" i="9"/>
  <c r="D33" i="16" s="1"/>
  <c r="I34" i="9"/>
  <c r="H34" i="9"/>
  <c r="S33" i="9"/>
  <c r="R33" i="9"/>
  <c r="F32" i="16" s="1"/>
  <c r="I33" i="9"/>
  <c r="H33" i="9"/>
  <c r="S32" i="9"/>
  <c r="Q32" i="9"/>
  <c r="J31" i="16" s="1"/>
  <c r="P32" i="9"/>
  <c r="D31" i="16" s="1"/>
  <c r="I32" i="9"/>
  <c r="H32" i="9"/>
  <c r="S31" i="9"/>
  <c r="R31" i="9"/>
  <c r="F30" i="16" s="1"/>
  <c r="Q31" i="9"/>
  <c r="J30" i="16" s="1"/>
  <c r="P31" i="9"/>
  <c r="D30" i="16" s="1"/>
  <c r="I31" i="9"/>
  <c r="H31" i="9"/>
  <c r="S30" i="9"/>
  <c r="R30" i="9"/>
  <c r="F29" i="16" s="1"/>
  <c r="P30" i="9"/>
  <c r="D29" i="16" s="1"/>
  <c r="I30" i="9"/>
  <c r="H30" i="9"/>
  <c r="S29" i="9"/>
  <c r="R29" i="9"/>
  <c r="F28" i="16" s="1"/>
  <c r="Q29" i="9"/>
  <c r="I29" i="9"/>
  <c r="H29" i="9"/>
  <c r="S28" i="9"/>
  <c r="R28" i="9"/>
  <c r="F27" i="16" s="1"/>
  <c r="Q28" i="9"/>
  <c r="P28" i="9"/>
  <c r="D27" i="16" s="1"/>
  <c r="I28" i="9"/>
  <c r="H28" i="9"/>
  <c r="R27" i="9"/>
  <c r="F26" i="16" s="1"/>
  <c r="S27" i="9"/>
  <c r="P27" i="9"/>
  <c r="D26" i="16" s="1"/>
  <c r="I27" i="9"/>
  <c r="H27" i="9"/>
  <c r="S26" i="9"/>
  <c r="R26" i="9"/>
  <c r="F25" i="16" s="1"/>
  <c r="I26" i="9"/>
  <c r="H26" i="9"/>
  <c r="S25" i="9"/>
  <c r="R25" i="9"/>
  <c r="F24" i="16" s="1"/>
  <c r="I25" i="9"/>
  <c r="H25" i="9"/>
  <c r="P24" i="9"/>
  <c r="D23" i="16" s="1"/>
  <c r="S24" i="9"/>
  <c r="I24" i="9"/>
  <c r="H24" i="9"/>
  <c r="S23" i="9"/>
  <c r="R23" i="9"/>
  <c r="F22" i="16" s="1"/>
  <c r="Q23" i="9"/>
  <c r="P23" i="9"/>
  <c r="D22" i="16" s="1"/>
  <c r="I23" i="9"/>
  <c r="H23" i="9"/>
  <c r="S22" i="9"/>
  <c r="R22" i="9"/>
  <c r="F21" i="16" s="1"/>
  <c r="Q22" i="9"/>
  <c r="P22" i="9"/>
  <c r="D21" i="16" s="1"/>
  <c r="I22" i="9"/>
  <c r="H22" i="9"/>
  <c r="S21" i="9"/>
  <c r="R21" i="9"/>
  <c r="F20" i="16" s="1"/>
  <c r="Q21" i="9"/>
  <c r="P21" i="9"/>
  <c r="D20" i="16" s="1"/>
  <c r="I21" i="9"/>
  <c r="H21" i="9"/>
  <c r="R20" i="9"/>
  <c r="F19" i="16" s="1"/>
  <c r="Q20" i="9"/>
  <c r="P20" i="9"/>
  <c r="D19" i="16" s="1"/>
  <c r="I20" i="9"/>
  <c r="H20" i="9"/>
  <c r="Q19" i="9"/>
  <c r="S19" i="9"/>
  <c r="R19" i="9"/>
  <c r="F18" i="16" s="1"/>
  <c r="P19" i="9"/>
  <c r="D18" i="16" s="1"/>
  <c r="I19" i="9"/>
  <c r="H19" i="9"/>
  <c r="S18" i="9"/>
  <c r="P18" i="9"/>
  <c r="D17" i="16" s="1"/>
  <c r="R18" i="9"/>
  <c r="F17" i="16" s="1"/>
  <c r="Q18" i="9"/>
  <c r="I18" i="9"/>
  <c r="H18" i="9"/>
  <c r="S17" i="9"/>
  <c r="R17" i="9"/>
  <c r="F16" i="16" s="1"/>
  <c r="I17" i="9"/>
  <c r="H17" i="9"/>
  <c r="Q16" i="9"/>
  <c r="S16" i="9"/>
  <c r="P16" i="9"/>
  <c r="D15" i="16" s="1"/>
  <c r="I16" i="9"/>
  <c r="H16" i="9"/>
  <c r="R15" i="9"/>
  <c r="F14" i="16" s="1"/>
  <c r="Q15" i="9"/>
  <c r="P15" i="9"/>
  <c r="D14" i="16" s="1"/>
  <c r="I15" i="9"/>
  <c r="H15" i="9"/>
  <c r="Q14" i="9"/>
  <c r="S14" i="9"/>
  <c r="R14" i="9"/>
  <c r="F13" i="16" s="1"/>
  <c r="P14" i="9"/>
  <c r="D13" i="16" s="1"/>
  <c r="I14" i="9"/>
  <c r="H14" i="9"/>
  <c r="R13" i="9"/>
  <c r="F12" i="16" s="1"/>
  <c r="Q13" i="9"/>
  <c r="P13" i="9"/>
  <c r="D12" i="16" s="1"/>
  <c r="I13" i="9"/>
  <c r="H13" i="9"/>
  <c r="P12" i="9"/>
  <c r="D11" i="16" s="1"/>
  <c r="S12" i="9"/>
  <c r="Q12" i="9"/>
  <c r="I12" i="9"/>
  <c r="H12" i="9"/>
  <c r="R11" i="9"/>
  <c r="F10" i="16" s="1"/>
  <c r="Q11" i="9"/>
  <c r="P11" i="9"/>
  <c r="D10" i="16" s="1"/>
  <c r="I11" i="9"/>
  <c r="H11" i="9"/>
  <c r="S10" i="9"/>
  <c r="R10" i="9"/>
  <c r="F9" i="16" s="1"/>
  <c r="Q10" i="9"/>
  <c r="P10" i="9"/>
  <c r="D9" i="16" s="1"/>
  <c r="I10" i="9"/>
  <c r="H10" i="9"/>
  <c r="S9" i="9"/>
  <c r="R9" i="9"/>
  <c r="F8" i="16" s="1"/>
  <c r="Q9" i="9"/>
  <c r="I9" i="9"/>
  <c r="H9" i="9"/>
  <c r="P13" i="16" l="1"/>
  <c r="K13" i="16"/>
  <c r="N22" i="16"/>
  <c r="J22" i="16"/>
  <c r="K35" i="16"/>
  <c r="P27" i="16"/>
  <c r="K27" i="16"/>
  <c r="P30" i="16"/>
  <c r="K30" i="16"/>
  <c r="N37" i="16"/>
  <c r="J37" i="16"/>
  <c r="N19" i="16"/>
  <c r="J19" i="16"/>
  <c r="N13" i="16"/>
  <c r="J13" i="16"/>
  <c r="N9" i="16"/>
  <c r="J9" i="16"/>
  <c r="N12" i="16"/>
  <c r="J12" i="16"/>
  <c r="K15" i="16"/>
  <c r="N17" i="16"/>
  <c r="J17" i="16"/>
  <c r="P18" i="16"/>
  <c r="K18" i="16"/>
  <c r="N21" i="16"/>
  <c r="J21" i="16"/>
  <c r="P22" i="16"/>
  <c r="K22" i="16"/>
  <c r="P24" i="16"/>
  <c r="K24" i="16"/>
  <c r="P26" i="16"/>
  <c r="K26" i="16"/>
  <c r="P32" i="16"/>
  <c r="K32" i="16"/>
  <c r="K37" i="16"/>
  <c r="N10" i="16"/>
  <c r="J10" i="16"/>
  <c r="N15" i="16"/>
  <c r="J15" i="16"/>
  <c r="N18" i="16"/>
  <c r="J18" i="16"/>
  <c r="P29" i="16"/>
  <c r="K29" i="16"/>
  <c r="P33" i="16"/>
  <c r="K33" i="16"/>
  <c r="J8" i="16"/>
  <c r="P9" i="16"/>
  <c r="K9" i="16"/>
  <c r="N11" i="16"/>
  <c r="J11" i="16"/>
  <c r="N20" i="16"/>
  <c r="J20" i="16"/>
  <c r="P21" i="16"/>
  <c r="K21" i="16"/>
  <c r="J28" i="16"/>
  <c r="P34" i="16"/>
  <c r="K34" i="16"/>
  <c r="P16" i="16"/>
  <c r="K16" i="16"/>
  <c r="K11" i="16"/>
  <c r="N14" i="16"/>
  <c r="J14" i="16"/>
  <c r="P17" i="16"/>
  <c r="K17" i="16"/>
  <c r="P23" i="16"/>
  <c r="K23" i="16"/>
  <c r="P36" i="16"/>
  <c r="K36" i="16"/>
  <c r="N27" i="16"/>
  <c r="J27" i="16"/>
  <c r="P8" i="16"/>
  <c r="K8" i="16"/>
  <c r="P20" i="16"/>
  <c r="K20" i="16"/>
  <c r="P25" i="16"/>
  <c r="K25" i="16"/>
  <c r="P28" i="16"/>
  <c r="K28" i="16"/>
  <c r="K31" i="16"/>
  <c r="F38" i="16"/>
  <c r="G38" i="16" s="1"/>
  <c r="P38" i="16"/>
  <c r="F40" i="16"/>
  <c r="P40" i="16"/>
  <c r="G9" i="16"/>
  <c r="G17" i="16"/>
  <c r="E20" i="16"/>
  <c r="G21" i="16"/>
  <c r="G26" i="16"/>
  <c r="G34" i="16"/>
  <c r="E14" i="16"/>
  <c r="E17" i="16"/>
  <c r="G36" i="16"/>
  <c r="G8" i="16"/>
  <c r="G28" i="16"/>
  <c r="E11" i="16"/>
  <c r="E10" i="16"/>
  <c r="E22" i="16"/>
  <c r="G16" i="16"/>
  <c r="E18" i="16"/>
  <c r="G27" i="16"/>
  <c r="G30" i="16"/>
  <c r="E37" i="16"/>
  <c r="G40" i="16"/>
  <c r="G25" i="16"/>
  <c r="E13" i="16"/>
  <c r="E19" i="16"/>
  <c r="G13" i="16"/>
  <c r="E9" i="16"/>
  <c r="E12" i="16"/>
  <c r="E15" i="16"/>
  <c r="G18" i="16"/>
  <c r="E21" i="16"/>
  <c r="G22" i="16"/>
  <c r="G24" i="16"/>
  <c r="G32" i="16"/>
  <c r="G20" i="16"/>
  <c r="E27" i="16"/>
  <c r="G29" i="16"/>
  <c r="R14" i="11"/>
  <c r="R31" i="11"/>
  <c r="O30" i="19" s="1"/>
  <c r="P30" i="19" s="1"/>
  <c r="O16" i="11"/>
  <c r="O19" i="11"/>
  <c r="R28" i="11"/>
  <c r="R36" i="11"/>
  <c r="O35" i="19" s="1"/>
  <c r="O38" i="11"/>
  <c r="R12" i="11"/>
  <c r="R23" i="11"/>
  <c r="R10" i="11"/>
  <c r="O9" i="19" s="1"/>
  <c r="P9" i="19" s="1"/>
  <c r="O33" i="11"/>
  <c r="R38" i="11"/>
  <c r="O37" i="19" s="1"/>
  <c r="P37" i="19" s="1"/>
  <c r="O43" i="11"/>
  <c r="O13" i="11"/>
  <c r="O15" i="11"/>
  <c r="R16" i="11"/>
  <c r="R18" i="11"/>
  <c r="O21" i="11"/>
  <c r="O25" i="11"/>
  <c r="R27" i="11"/>
  <c r="R30" i="11"/>
  <c r="O35" i="11"/>
  <c r="O22" i="11"/>
  <c r="R22" i="11"/>
  <c r="O12" i="11"/>
  <c r="M11" i="19" s="1"/>
  <c r="R15" i="11"/>
  <c r="O24" i="11"/>
  <c r="O29" i="11"/>
  <c r="O32" i="11"/>
  <c r="R40" i="11"/>
  <c r="O39" i="19" s="1"/>
  <c r="O42" i="11"/>
  <c r="O11" i="11"/>
  <c r="O20" i="11"/>
  <c r="R21" i="11"/>
  <c r="O37" i="11"/>
  <c r="R26" i="11"/>
  <c r="R29" i="11"/>
  <c r="R32" i="11"/>
  <c r="O31" i="19" s="1"/>
  <c r="O39" i="11"/>
  <c r="O14" i="11"/>
  <c r="O17" i="11"/>
  <c r="R20" i="11"/>
  <c r="O23" i="11"/>
  <c r="M22" i="19" s="1"/>
  <c r="R24" i="11"/>
  <c r="R42" i="11"/>
  <c r="O41" i="19" s="1"/>
  <c r="P41" i="19" s="1"/>
  <c r="O28" i="11"/>
  <c r="M27" i="19" s="1"/>
  <c r="N27" i="19" s="1"/>
  <c r="O31" i="11"/>
  <c r="R34" i="11"/>
  <c r="O33" i="19" s="1"/>
  <c r="P33" i="19" s="1"/>
  <c r="R11" i="11"/>
  <c r="R19" i="11"/>
  <c r="O41" i="11"/>
  <c r="T30" i="9"/>
  <c r="U23" i="9"/>
  <c r="U12" i="9"/>
  <c r="T22" i="9"/>
  <c r="T20" i="9"/>
  <c r="T28" i="9"/>
  <c r="U14" i="9"/>
  <c r="S20" i="9"/>
  <c r="U38" i="9"/>
  <c r="T37" i="9"/>
  <c r="T11" i="9"/>
  <c r="T15" i="9"/>
  <c r="U16" i="9"/>
  <c r="T31" i="9"/>
  <c r="P33" i="9"/>
  <c r="D32" i="16" s="1"/>
  <c r="Q40" i="9"/>
  <c r="J39" i="16" s="1"/>
  <c r="T13" i="9"/>
  <c r="U19" i="9"/>
  <c r="U29" i="9"/>
  <c r="Q30" i="9"/>
  <c r="J29" i="16" s="1"/>
  <c r="T18" i="9"/>
  <c r="T21" i="9"/>
  <c r="T27" i="9"/>
  <c r="U32" i="9"/>
  <c r="P26" i="9"/>
  <c r="D25" i="16" s="1"/>
  <c r="P39" i="9"/>
  <c r="D38" i="16" s="1"/>
  <c r="R16" i="9"/>
  <c r="F15" i="16" s="1"/>
  <c r="U22" i="9"/>
  <c r="Q27" i="9"/>
  <c r="T23" i="9"/>
  <c r="Q26" i="9"/>
  <c r="U28" i="9"/>
  <c r="P29" i="9"/>
  <c r="D28" i="16" s="1"/>
  <c r="U10" i="9"/>
  <c r="P35" i="9"/>
  <c r="D34" i="16" s="1"/>
  <c r="T10" i="9"/>
  <c r="T14" i="9"/>
  <c r="Q17" i="9"/>
  <c r="R12" i="9"/>
  <c r="F11" i="16" s="1"/>
  <c r="P25" i="9"/>
  <c r="D24" i="16" s="1"/>
  <c r="U34" i="9"/>
  <c r="U42" i="9"/>
  <c r="S15" i="9"/>
  <c r="R32" i="9"/>
  <c r="F31" i="16" s="1"/>
  <c r="Q37" i="9"/>
  <c r="J36" i="16" s="1"/>
  <c r="T41" i="9"/>
  <c r="P17" i="9"/>
  <c r="D16" i="16" s="1"/>
  <c r="Q25" i="9"/>
  <c r="Q24" i="9"/>
  <c r="U9" i="9"/>
  <c r="R24" i="9"/>
  <c r="F23" i="16" s="1"/>
  <c r="U31" i="9"/>
  <c r="Q33" i="9"/>
  <c r="J32" i="16" s="1"/>
  <c r="U35" i="9"/>
  <c r="S13" i="9"/>
  <c r="T19" i="9"/>
  <c r="U21" i="9"/>
  <c r="S11" i="9"/>
  <c r="P9" i="9"/>
  <c r="D8" i="16" s="1"/>
  <c r="U18" i="9"/>
  <c r="U39" i="9"/>
  <c r="R34" i="9"/>
  <c r="F33" i="16" s="1"/>
  <c r="Q36" i="9"/>
  <c r="J35" i="16" s="1"/>
  <c r="R38" i="9"/>
  <c r="F37" i="16" s="1"/>
  <c r="R42" i="9"/>
  <c r="R40" i="9"/>
  <c r="R36" i="9"/>
  <c r="F35" i="16" s="1"/>
  <c r="U41" i="9"/>
  <c r="P12" i="16" l="1"/>
  <c r="K12" i="16"/>
  <c r="N25" i="16"/>
  <c r="J25" i="16"/>
  <c r="N26" i="16"/>
  <c r="J26" i="16"/>
  <c r="F39" i="16"/>
  <c r="P39" i="16"/>
  <c r="P10" i="16"/>
  <c r="K10" i="16"/>
  <c r="P31" i="16"/>
  <c r="P37" i="16"/>
  <c r="P15" i="16"/>
  <c r="P35" i="16"/>
  <c r="F41" i="16"/>
  <c r="G41" i="16" s="1"/>
  <c r="P41" i="16"/>
  <c r="P14" i="16"/>
  <c r="K14" i="16"/>
  <c r="N16" i="16"/>
  <c r="J16" i="16"/>
  <c r="N28" i="16"/>
  <c r="N23" i="16"/>
  <c r="J23" i="16"/>
  <c r="N24" i="16"/>
  <c r="J24" i="16"/>
  <c r="P19" i="16"/>
  <c r="K19" i="16"/>
  <c r="P11" i="16"/>
  <c r="N8" i="16"/>
  <c r="P31" i="19"/>
  <c r="E35" i="18"/>
  <c r="M34" i="19"/>
  <c r="H26" i="18"/>
  <c r="O25" i="19"/>
  <c r="P25" i="19" s="1"/>
  <c r="H27" i="18"/>
  <c r="O26" i="19"/>
  <c r="P26" i="19" s="1"/>
  <c r="E19" i="18"/>
  <c r="M18" i="19"/>
  <c r="E41" i="18"/>
  <c r="M40" i="19"/>
  <c r="N22" i="19"/>
  <c r="E37" i="18"/>
  <c r="M36" i="19"/>
  <c r="E24" i="18"/>
  <c r="M23" i="19"/>
  <c r="N23" i="19" s="1"/>
  <c r="E25" i="18"/>
  <c r="M24" i="19"/>
  <c r="E33" i="18"/>
  <c r="M32" i="19"/>
  <c r="E16" i="18"/>
  <c r="M15" i="19"/>
  <c r="P39" i="19"/>
  <c r="E29" i="18"/>
  <c r="M28" i="19"/>
  <c r="H19" i="18"/>
  <c r="O18" i="19"/>
  <c r="P18" i="19" s="1"/>
  <c r="H20" i="18"/>
  <c r="O19" i="19"/>
  <c r="H21" i="18"/>
  <c r="O20" i="19"/>
  <c r="P20" i="19" s="1"/>
  <c r="H15" i="18"/>
  <c r="O14" i="19"/>
  <c r="E21" i="18"/>
  <c r="M20" i="19"/>
  <c r="E13" i="18"/>
  <c r="M12" i="19"/>
  <c r="E17" i="18"/>
  <c r="M16" i="19"/>
  <c r="H18" i="18"/>
  <c r="O17" i="19"/>
  <c r="P17" i="19" s="1"/>
  <c r="E39" i="18"/>
  <c r="M38" i="19"/>
  <c r="P35" i="19"/>
  <c r="H24" i="18"/>
  <c r="O23" i="19"/>
  <c r="H11" i="18"/>
  <c r="O10" i="19"/>
  <c r="P10" i="19" s="1"/>
  <c r="E20" i="18"/>
  <c r="M19" i="19"/>
  <c r="N19" i="19" s="1"/>
  <c r="N11" i="19"/>
  <c r="H23" i="18"/>
  <c r="O22" i="19"/>
  <c r="P22" i="19" s="1"/>
  <c r="H14" i="18"/>
  <c r="O13" i="19"/>
  <c r="P13" i="19" s="1"/>
  <c r="E14" i="18"/>
  <c r="M13" i="19"/>
  <c r="E11" i="18"/>
  <c r="M10" i="19"/>
  <c r="H22" i="18"/>
  <c r="O21" i="19"/>
  <c r="P21" i="19" s="1"/>
  <c r="H16" i="18"/>
  <c r="O15" i="19"/>
  <c r="P15" i="19" s="1"/>
  <c r="H12" i="18"/>
  <c r="O11" i="19"/>
  <c r="Q11" i="19" s="1"/>
  <c r="R11" i="19" s="1"/>
  <c r="E42" i="18"/>
  <c r="M41" i="19"/>
  <c r="Q41" i="19" s="1"/>
  <c r="R41" i="19" s="1"/>
  <c r="E22" i="18"/>
  <c r="M21" i="19"/>
  <c r="E15" i="18"/>
  <c r="M14" i="19"/>
  <c r="N14" i="19" s="1"/>
  <c r="E38" i="18"/>
  <c r="M37" i="19"/>
  <c r="Q37" i="19" s="1"/>
  <c r="R37" i="19" s="1"/>
  <c r="E31" i="18"/>
  <c r="M30" i="19"/>
  <c r="Q30" i="19" s="1"/>
  <c r="R30" i="19" s="1"/>
  <c r="H29" i="18"/>
  <c r="O28" i="19"/>
  <c r="P28" i="19" s="1"/>
  <c r="E32" i="18"/>
  <c r="M31" i="19"/>
  <c r="Q31" i="19" s="1"/>
  <c r="R31" i="19" s="1"/>
  <c r="H30" i="18"/>
  <c r="O29" i="19"/>
  <c r="P29" i="19" s="1"/>
  <c r="E43" i="18"/>
  <c r="M42" i="19"/>
  <c r="H28" i="18"/>
  <c r="O27" i="19"/>
  <c r="P23" i="11"/>
  <c r="E23" i="18"/>
  <c r="S10" i="11"/>
  <c r="H10" i="18"/>
  <c r="S31" i="11"/>
  <c r="T31" i="11" s="1"/>
  <c r="H31" i="18"/>
  <c r="S38" i="11"/>
  <c r="H38" i="18"/>
  <c r="P12" i="11"/>
  <c r="E12" i="18"/>
  <c r="S34" i="11"/>
  <c r="H34" i="18"/>
  <c r="S32" i="11"/>
  <c r="T32" i="11" s="1"/>
  <c r="H32" i="18"/>
  <c r="S36" i="11"/>
  <c r="T36" i="11" s="1"/>
  <c r="H36" i="18"/>
  <c r="P28" i="11"/>
  <c r="E28" i="18"/>
  <c r="S40" i="11"/>
  <c r="H40" i="18"/>
  <c r="S42" i="11"/>
  <c r="T42" i="11" s="1"/>
  <c r="H42" i="18"/>
  <c r="P11" i="11"/>
  <c r="S29" i="11"/>
  <c r="S30" i="11"/>
  <c r="S28" i="11"/>
  <c r="S22" i="11"/>
  <c r="P22" i="11"/>
  <c r="S24" i="11"/>
  <c r="S26" i="11"/>
  <c r="P29" i="11"/>
  <c r="S27" i="11"/>
  <c r="P19" i="11"/>
  <c r="P14" i="11"/>
  <c r="P39" i="11"/>
  <c r="P24" i="11"/>
  <c r="P25" i="11"/>
  <c r="P16" i="11"/>
  <c r="S12" i="11"/>
  <c r="P13" i="11"/>
  <c r="S19" i="11"/>
  <c r="S20" i="11"/>
  <c r="S21" i="11"/>
  <c r="S15" i="11"/>
  <c r="P21" i="11"/>
  <c r="S16" i="11"/>
  <c r="P15" i="11"/>
  <c r="S11" i="11"/>
  <c r="P17" i="11"/>
  <c r="P20" i="11"/>
  <c r="S18" i="11"/>
  <c r="S23" i="11"/>
  <c r="T23" i="11" s="1"/>
  <c r="S14" i="11"/>
  <c r="N14" i="11" s="1"/>
  <c r="J13" i="20" s="1"/>
  <c r="K13" i="20" s="1"/>
  <c r="L13" i="20" s="1"/>
  <c r="G19" i="16"/>
  <c r="G12" i="16"/>
  <c r="G14" i="16"/>
  <c r="E23" i="16"/>
  <c r="G10" i="16"/>
  <c r="E26" i="16"/>
  <c r="Q19" i="16"/>
  <c r="Q22" i="16"/>
  <c r="Q17" i="16"/>
  <c r="Q29" i="16"/>
  <c r="Q10" i="16"/>
  <c r="Q18" i="16"/>
  <c r="Q26" i="16"/>
  <c r="Q36" i="16"/>
  <c r="Q13" i="16"/>
  <c r="Q27" i="16"/>
  <c r="Q21" i="16"/>
  <c r="Q12" i="16"/>
  <c r="Q14" i="16"/>
  <c r="Q9" i="16"/>
  <c r="T41" i="16"/>
  <c r="T40" i="16"/>
  <c r="H22" i="16"/>
  <c r="H36" i="16"/>
  <c r="H17" i="16"/>
  <c r="G11" i="16"/>
  <c r="E28" i="16"/>
  <c r="E25" i="16"/>
  <c r="H30" i="16"/>
  <c r="E8" i="16"/>
  <c r="H21" i="16"/>
  <c r="T40" i="11"/>
  <c r="H27" i="16"/>
  <c r="G31" i="16"/>
  <c r="T38" i="11"/>
  <c r="G23" i="16"/>
  <c r="H18" i="16"/>
  <c r="T34" i="11"/>
  <c r="H14" i="16"/>
  <c r="H10" i="16"/>
  <c r="H19" i="16"/>
  <c r="H12" i="16"/>
  <c r="H20" i="16"/>
  <c r="G33" i="16"/>
  <c r="E16" i="16"/>
  <c r="E24" i="16"/>
  <c r="H40" i="16"/>
  <c r="G37" i="16"/>
  <c r="G39" i="16"/>
  <c r="H29" i="16"/>
  <c r="H9" i="16"/>
  <c r="H13" i="16"/>
  <c r="H26" i="16"/>
  <c r="T32" i="9"/>
  <c r="R33" i="11"/>
  <c r="O32" i="19" s="1"/>
  <c r="P32" i="19" s="1"/>
  <c r="R13" i="11"/>
  <c r="O12" i="19" s="1"/>
  <c r="P12" i="19" s="1"/>
  <c r="T38" i="9"/>
  <c r="R39" i="11"/>
  <c r="O38" i="19" s="1"/>
  <c r="P38" i="19" s="1"/>
  <c r="U15" i="9"/>
  <c r="T16" i="9"/>
  <c r="R17" i="11"/>
  <c r="O16" i="19" s="1"/>
  <c r="P16" i="19" s="1"/>
  <c r="T35" i="9"/>
  <c r="O36" i="11"/>
  <c r="T17" i="9"/>
  <c r="O18" i="11"/>
  <c r="M17" i="19" s="1"/>
  <c r="T29" i="9"/>
  <c r="O30" i="11"/>
  <c r="M29" i="19" s="1"/>
  <c r="T26" i="9"/>
  <c r="O27" i="11"/>
  <c r="M26" i="19" s="1"/>
  <c r="T39" i="9"/>
  <c r="O40" i="11"/>
  <c r="U36" i="9"/>
  <c r="O10" i="11"/>
  <c r="M9" i="19" s="1"/>
  <c r="U33" i="9"/>
  <c r="U24" i="9"/>
  <c r="U40" i="9"/>
  <c r="U20" i="9"/>
  <c r="U25" i="9"/>
  <c r="T36" i="9"/>
  <c r="R37" i="11"/>
  <c r="O36" i="19" s="1"/>
  <c r="P36" i="19" s="1"/>
  <c r="U11" i="9"/>
  <c r="U17" i="9"/>
  <c r="U26" i="9"/>
  <c r="T33" i="9"/>
  <c r="O34" i="11"/>
  <c r="U30" i="9"/>
  <c r="U13" i="9"/>
  <c r="T25" i="9"/>
  <c r="O26" i="11"/>
  <c r="M25" i="19" s="1"/>
  <c r="T34" i="9"/>
  <c r="R35" i="11"/>
  <c r="O34" i="19" s="1"/>
  <c r="P34" i="19" s="1"/>
  <c r="T24" i="9"/>
  <c r="R25" i="11"/>
  <c r="O24" i="19" s="1"/>
  <c r="P24" i="19" s="1"/>
  <c r="T40" i="9"/>
  <c r="R41" i="11"/>
  <c r="O40" i="19" s="1"/>
  <c r="P40" i="19" s="1"/>
  <c r="R43" i="11"/>
  <c r="O42" i="19" s="1"/>
  <c r="P42" i="19" s="1"/>
  <c r="U37" i="9"/>
  <c r="U27" i="9"/>
  <c r="T42" i="9"/>
  <c r="T9" i="9"/>
  <c r="T12" i="9"/>
  <c r="I14" i="18" l="1"/>
  <c r="J14" i="18" s="1"/>
  <c r="F14" i="18"/>
  <c r="Q22" i="19"/>
  <c r="R22" i="19" s="1"/>
  <c r="E40" i="18"/>
  <c r="M39" i="19"/>
  <c r="Q39" i="19" s="1"/>
  <c r="R39" i="19" s="1"/>
  <c r="E36" i="18"/>
  <c r="M35" i="19"/>
  <c r="Q35" i="19" s="1"/>
  <c r="R35" i="19" s="1"/>
  <c r="M27" i="20"/>
  <c r="L28" i="18" s="1"/>
  <c r="S27" i="19" s="1"/>
  <c r="O19" i="20"/>
  <c r="O20" i="18" s="1"/>
  <c r="M22" i="20"/>
  <c r="L23" i="18" s="1"/>
  <c r="S22" i="19" s="1"/>
  <c r="O18" i="20"/>
  <c r="O19" i="18" s="1"/>
  <c r="M16" i="20"/>
  <c r="L17" i="18" s="1"/>
  <c r="S16" i="19" s="1"/>
  <c r="O15" i="20"/>
  <c r="O16" i="18" s="1"/>
  <c r="Q42" i="19"/>
  <c r="R42" i="19" s="1"/>
  <c r="N10" i="19"/>
  <c r="Q10" i="19"/>
  <c r="R10" i="19" s="1"/>
  <c r="N12" i="19"/>
  <c r="Q12" i="19"/>
  <c r="R12" i="19" s="1"/>
  <c r="Q19" i="19"/>
  <c r="R19" i="19" s="1"/>
  <c r="P19" i="19"/>
  <c r="N15" i="19"/>
  <c r="Q15" i="19"/>
  <c r="R15" i="19" s="1"/>
  <c r="Q36" i="19"/>
  <c r="R36" i="19" s="1"/>
  <c r="E34" i="18"/>
  <c r="M33" i="19"/>
  <c r="Q33" i="19" s="1"/>
  <c r="R33" i="19" s="1"/>
  <c r="M21" i="20"/>
  <c r="L22" i="18" s="1"/>
  <c r="S21" i="19" s="1"/>
  <c r="O31" i="20"/>
  <c r="O32" i="18" s="1"/>
  <c r="O29" i="20"/>
  <c r="O30" i="18" s="1"/>
  <c r="O27" i="20"/>
  <c r="O28" i="18" s="1"/>
  <c r="O43" i="19"/>
  <c r="P43" i="19" s="1"/>
  <c r="P11" i="19"/>
  <c r="N38" i="19"/>
  <c r="Q38" i="19"/>
  <c r="R38" i="19" s="1"/>
  <c r="Q20" i="19"/>
  <c r="R20" i="19" s="1"/>
  <c r="N20" i="19"/>
  <c r="Q32" i="19"/>
  <c r="R32" i="19" s="1"/>
  <c r="M24" i="20"/>
  <c r="L25" i="18" s="1"/>
  <c r="S24" i="19" s="1"/>
  <c r="M37" i="20"/>
  <c r="O26" i="20"/>
  <c r="O27" i="18" s="1"/>
  <c r="M10" i="20"/>
  <c r="L11" i="18" s="1"/>
  <c r="S10" i="19" s="1"/>
  <c r="N13" i="19"/>
  <c r="Q13" i="19"/>
  <c r="R13" i="19" s="1"/>
  <c r="N29" i="19"/>
  <c r="Q29" i="19"/>
  <c r="R29" i="19" s="1"/>
  <c r="O20" i="20"/>
  <c r="O21" i="18" s="1"/>
  <c r="M12" i="20"/>
  <c r="L13" i="18" s="1"/>
  <c r="S12" i="19" s="1"/>
  <c r="O25" i="20"/>
  <c r="O26" i="18" s="1"/>
  <c r="O9" i="20"/>
  <c r="O10" i="18" s="1"/>
  <c r="O37" i="20"/>
  <c r="O38" i="18" s="1"/>
  <c r="O17" i="20"/>
  <c r="O18" i="18" s="1"/>
  <c r="Q14" i="19"/>
  <c r="R14" i="19" s="1"/>
  <c r="P14" i="19"/>
  <c r="Q28" i="19"/>
  <c r="R28" i="19" s="1"/>
  <c r="N28" i="19"/>
  <c r="Q24" i="19"/>
  <c r="R24" i="19" s="1"/>
  <c r="N24" i="19"/>
  <c r="Q40" i="19"/>
  <c r="R40" i="19" s="1"/>
  <c r="Q34" i="19"/>
  <c r="R34" i="19" s="1"/>
  <c r="O35" i="20"/>
  <c r="O36" i="18" s="1"/>
  <c r="O28" i="20"/>
  <c r="O29" i="18" s="1"/>
  <c r="M20" i="20"/>
  <c r="N25" i="19"/>
  <c r="Q25" i="19"/>
  <c r="R25" i="19" s="1"/>
  <c r="N9" i="19"/>
  <c r="Q9" i="19"/>
  <c r="N17" i="19"/>
  <c r="Q17" i="19"/>
  <c r="R17" i="19" s="1"/>
  <c r="O30" i="20"/>
  <c r="O31" i="18" s="1"/>
  <c r="M23" i="20"/>
  <c r="L24" i="18" s="1"/>
  <c r="S23" i="19" s="1"/>
  <c r="O13" i="20"/>
  <c r="O14" i="18" s="1"/>
  <c r="M18" i="20"/>
  <c r="M32" i="20"/>
  <c r="L33" i="18" s="1"/>
  <c r="S32" i="19" s="1"/>
  <c r="O11" i="20"/>
  <c r="O12" i="18" s="1"/>
  <c r="M30" i="20"/>
  <c r="L31" i="18" s="1"/>
  <c r="S30" i="19" s="1"/>
  <c r="Q26" i="19"/>
  <c r="R26" i="19" s="1"/>
  <c r="N26" i="19"/>
  <c r="O33" i="20"/>
  <c r="O34" i="18" s="1"/>
  <c r="N41" i="20"/>
  <c r="M11" i="20"/>
  <c r="L12" i="18" s="1"/>
  <c r="S11" i="19" s="1"/>
  <c r="O14" i="20"/>
  <c r="O15" i="18" s="1"/>
  <c r="M36" i="20"/>
  <c r="L37" i="18" s="1"/>
  <c r="S36" i="19" s="1"/>
  <c r="Q27" i="19"/>
  <c r="R27" i="19" s="1"/>
  <c r="P27" i="19"/>
  <c r="N21" i="19"/>
  <c r="Q21" i="19"/>
  <c r="R21" i="19" s="1"/>
  <c r="Q23" i="19"/>
  <c r="R23" i="19" s="1"/>
  <c r="P23" i="19"/>
  <c r="N16" i="19"/>
  <c r="Q16" i="19"/>
  <c r="R16" i="19" s="1"/>
  <c r="Q18" i="19"/>
  <c r="R18" i="19" s="1"/>
  <c r="N18" i="19"/>
  <c r="N42" i="20"/>
  <c r="O21" i="20"/>
  <c r="O22" i="18" s="1"/>
  <c r="O23" i="20"/>
  <c r="O24" i="18" s="1"/>
  <c r="S41" i="11"/>
  <c r="H41" i="18"/>
  <c r="S25" i="11"/>
  <c r="T25" i="11" s="1"/>
  <c r="H25" i="18"/>
  <c r="T15" i="11"/>
  <c r="N24" i="11"/>
  <c r="J23" i="20" s="1"/>
  <c r="K23" i="20" s="1"/>
  <c r="L23" i="20" s="1"/>
  <c r="T24" i="11"/>
  <c r="S35" i="11"/>
  <c r="T35" i="11" s="1"/>
  <c r="H35" i="18"/>
  <c r="P30" i="11"/>
  <c r="N30" i="11" s="1"/>
  <c r="J29" i="20" s="1"/>
  <c r="K29" i="20" s="1"/>
  <c r="L29" i="20" s="1"/>
  <c r="E30" i="18"/>
  <c r="T18" i="11"/>
  <c r="T21" i="11"/>
  <c r="Q24" i="11"/>
  <c r="N22" i="11"/>
  <c r="J21" i="20" s="1"/>
  <c r="K21" i="20" s="1"/>
  <c r="L21" i="20" s="1"/>
  <c r="S39" i="11"/>
  <c r="T39" i="11" s="1"/>
  <c r="H39" i="18"/>
  <c r="N20" i="11"/>
  <c r="J19" i="20" s="1"/>
  <c r="K19" i="20" s="1"/>
  <c r="L19" i="20" s="1"/>
  <c r="T20" i="11"/>
  <c r="Q39" i="11"/>
  <c r="T22" i="11"/>
  <c r="P26" i="11"/>
  <c r="Q26" i="11" s="1"/>
  <c r="E26" i="18"/>
  <c r="P18" i="11"/>
  <c r="Q18" i="11" s="1"/>
  <c r="E18" i="18"/>
  <c r="Q17" i="11"/>
  <c r="T19" i="11"/>
  <c r="Q14" i="11"/>
  <c r="T28" i="11"/>
  <c r="S17" i="11"/>
  <c r="T17" i="11" s="1"/>
  <c r="H17" i="18"/>
  <c r="P10" i="11"/>
  <c r="N10" i="11" s="1"/>
  <c r="J9" i="20" s="1"/>
  <c r="E10" i="18"/>
  <c r="E44" i="18" s="1"/>
  <c r="S43" i="11"/>
  <c r="H43" i="18"/>
  <c r="S37" i="11"/>
  <c r="H37" i="18"/>
  <c r="S13" i="11"/>
  <c r="N13" i="11" s="1"/>
  <c r="H13" i="18"/>
  <c r="Q13" i="11"/>
  <c r="T30" i="11"/>
  <c r="S33" i="11"/>
  <c r="H33" i="18"/>
  <c r="Q15" i="11"/>
  <c r="T12" i="11"/>
  <c r="T27" i="11"/>
  <c r="T29" i="11"/>
  <c r="T14" i="11"/>
  <c r="T16" i="11"/>
  <c r="Q29" i="11"/>
  <c r="Q11" i="11"/>
  <c r="P27" i="11"/>
  <c r="E27" i="18"/>
  <c r="Q21" i="11"/>
  <c r="Q25" i="11"/>
  <c r="T26" i="11"/>
  <c r="N21" i="11"/>
  <c r="J20" i="20" s="1"/>
  <c r="K20" i="20" s="1"/>
  <c r="L20" i="20" s="1"/>
  <c r="N29" i="11"/>
  <c r="Q22" i="11"/>
  <c r="N19" i="11"/>
  <c r="N16" i="11"/>
  <c r="N11" i="11"/>
  <c r="N15" i="11"/>
  <c r="T11" i="11"/>
  <c r="Q16" i="11"/>
  <c r="Q19" i="11"/>
  <c r="Q20" i="11"/>
  <c r="R44" i="11"/>
  <c r="T10" i="11"/>
  <c r="N12" i="11"/>
  <c r="J11" i="20" s="1"/>
  <c r="K11" i="20" s="1"/>
  <c r="L11" i="20" s="1"/>
  <c r="Q12" i="11"/>
  <c r="N28" i="11"/>
  <c r="J27" i="20" s="1"/>
  <c r="K27" i="20" s="1"/>
  <c r="L27" i="20" s="1"/>
  <c r="Q28" i="11"/>
  <c r="N23" i="11"/>
  <c r="J22" i="20" s="1"/>
  <c r="K22" i="20" s="1"/>
  <c r="L22" i="20" s="1"/>
  <c r="Q23" i="11"/>
  <c r="L30" i="16"/>
  <c r="N32" i="11"/>
  <c r="J31" i="20" s="1"/>
  <c r="K31" i="20" s="1"/>
  <c r="L31" i="20" s="1"/>
  <c r="L32" i="16"/>
  <c r="N34" i="11"/>
  <c r="J33" i="20" s="1"/>
  <c r="K33" i="20" s="1"/>
  <c r="L33" i="20" s="1"/>
  <c r="L38" i="16"/>
  <c r="N40" i="11"/>
  <c r="J39" i="20" s="1"/>
  <c r="K39" i="20" s="1"/>
  <c r="L39" i="20" s="1"/>
  <c r="L40" i="16"/>
  <c r="N42" i="11"/>
  <c r="J41" i="20" s="1"/>
  <c r="K41" i="20" s="1"/>
  <c r="L41" i="20" s="1"/>
  <c r="L29" i="16"/>
  <c r="N31" i="11"/>
  <c r="J30" i="20" s="1"/>
  <c r="K30" i="20" s="1"/>
  <c r="L30" i="20" s="1"/>
  <c r="L34" i="16"/>
  <c r="N36" i="11"/>
  <c r="J35" i="20" s="1"/>
  <c r="K35" i="20" s="1"/>
  <c r="L35" i="20" s="1"/>
  <c r="L36" i="16"/>
  <c r="N38" i="11"/>
  <c r="J37" i="20" s="1"/>
  <c r="K37" i="20" s="1"/>
  <c r="L37" i="20" s="1"/>
  <c r="L17" i="16"/>
  <c r="L22" i="16"/>
  <c r="L21" i="16"/>
  <c r="Q15" i="16"/>
  <c r="G15" i="16"/>
  <c r="L13" i="16"/>
  <c r="L12" i="16"/>
  <c r="L26" i="16"/>
  <c r="Q35" i="16"/>
  <c r="G35" i="16"/>
  <c r="L20" i="16"/>
  <c r="L15" i="16"/>
  <c r="I20" i="16"/>
  <c r="T36" i="16"/>
  <c r="L14" i="16"/>
  <c r="L10" i="16"/>
  <c r="L9" i="16"/>
  <c r="M28" i="20"/>
  <c r="L29" i="18" s="1"/>
  <c r="L11" i="16"/>
  <c r="L18" i="16"/>
  <c r="Q30" i="16"/>
  <c r="L19" i="16"/>
  <c r="L27" i="16"/>
  <c r="I22" i="16"/>
  <c r="Q32" i="16"/>
  <c r="Q37" i="16"/>
  <c r="T38" i="16"/>
  <c r="Q23" i="16"/>
  <c r="O12" i="20"/>
  <c r="O13" i="18" s="1"/>
  <c r="Q8" i="16"/>
  <c r="Q20" i="16"/>
  <c r="Q24" i="16"/>
  <c r="M13" i="20"/>
  <c r="L14" i="18" s="1"/>
  <c r="Q16" i="16"/>
  <c r="Q25" i="16"/>
  <c r="Q34" i="16"/>
  <c r="O22" i="20"/>
  <c r="O23" i="18" s="1"/>
  <c r="Q11" i="16"/>
  <c r="Q33" i="16"/>
  <c r="Q28" i="16"/>
  <c r="M14" i="20"/>
  <c r="L15" i="18" s="1"/>
  <c r="Q31" i="16"/>
  <c r="H11" i="16"/>
  <c r="H16" i="16"/>
  <c r="T39" i="16"/>
  <c r="I19" i="16"/>
  <c r="T35" i="16"/>
  <c r="H31" i="16"/>
  <c r="H41" i="16"/>
  <c r="H23" i="16"/>
  <c r="H15" i="16"/>
  <c r="H38" i="16"/>
  <c r="H28" i="16"/>
  <c r="T41" i="11"/>
  <c r="H33" i="16"/>
  <c r="H37" i="16"/>
  <c r="H39" i="16"/>
  <c r="H25" i="16"/>
  <c r="T37" i="11"/>
  <c r="H32" i="16"/>
  <c r="H34" i="16"/>
  <c r="T43" i="11"/>
  <c r="H35" i="16"/>
  <c r="T33" i="11"/>
  <c r="H24" i="16"/>
  <c r="H8" i="16"/>
  <c r="D42" i="16"/>
  <c r="M33" i="18" l="1"/>
  <c r="T27" i="19"/>
  <c r="T16" i="19"/>
  <c r="Q20" i="20"/>
  <c r="L21" i="18"/>
  <c r="S20" i="19" s="1"/>
  <c r="Q37" i="20"/>
  <c r="L38" i="18"/>
  <c r="Q18" i="20"/>
  <c r="L19" i="18"/>
  <c r="S18" i="19" s="1"/>
  <c r="I31" i="18"/>
  <c r="J31" i="18" s="1"/>
  <c r="F31" i="18"/>
  <c r="I32" i="18"/>
  <c r="J32" i="18" s="1"/>
  <c r="F32" i="18"/>
  <c r="I21" i="18"/>
  <c r="J21" i="18" s="1"/>
  <c r="F21" i="18"/>
  <c r="I23" i="18"/>
  <c r="J23" i="18" s="1"/>
  <c r="F23" i="18"/>
  <c r="I24" i="18"/>
  <c r="J24" i="18" s="1"/>
  <c r="F24" i="18"/>
  <c r="I40" i="18"/>
  <c r="J40" i="18" s="1"/>
  <c r="F40" i="18"/>
  <c r="I22" i="18"/>
  <c r="J22" i="18" s="1"/>
  <c r="F22" i="18"/>
  <c r="I38" i="18"/>
  <c r="J38" i="18" s="1"/>
  <c r="F38" i="18"/>
  <c r="I28" i="18"/>
  <c r="J28" i="18" s="1"/>
  <c r="F28" i="18"/>
  <c r="I36" i="18"/>
  <c r="J36" i="18" s="1"/>
  <c r="F36" i="18"/>
  <c r="I34" i="18"/>
  <c r="J34" i="18" s="1"/>
  <c r="F34" i="18"/>
  <c r="I42" i="18"/>
  <c r="J42" i="18" s="1"/>
  <c r="F42" i="18"/>
  <c r="I12" i="18"/>
  <c r="J12" i="18" s="1"/>
  <c r="F12" i="18"/>
  <c r="I20" i="18"/>
  <c r="J20" i="18" s="1"/>
  <c r="F20" i="18"/>
  <c r="I30" i="18"/>
  <c r="J30" i="18" s="1"/>
  <c r="F30" i="18"/>
  <c r="K9" i="20"/>
  <c r="J12" i="20"/>
  <c r="K12" i="20" s="1"/>
  <c r="L12" i="20" s="1"/>
  <c r="J28" i="20"/>
  <c r="K28" i="20" s="1"/>
  <c r="L28" i="20" s="1"/>
  <c r="J14" i="20"/>
  <c r="K14" i="20" s="1"/>
  <c r="L14" i="20" s="1"/>
  <c r="J10" i="20"/>
  <c r="K10" i="20" s="1"/>
  <c r="L10" i="20" s="1"/>
  <c r="J15" i="20"/>
  <c r="K15" i="20" s="1"/>
  <c r="L15" i="20" s="1"/>
  <c r="J18" i="20"/>
  <c r="K18" i="20" s="1"/>
  <c r="L18" i="20" s="1"/>
  <c r="Q11" i="20"/>
  <c r="Q14" i="20"/>
  <c r="Q28" i="20"/>
  <c r="M31" i="18"/>
  <c r="Q13" i="20"/>
  <c r="Q30" i="11"/>
  <c r="M43" i="19"/>
  <c r="N43" i="19" s="1"/>
  <c r="N40" i="20"/>
  <c r="N39" i="20"/>
  <c r="W15" i="18"/>
  <c r="U14" i="19"/>
  <c r="M34" i="20"/>
  <c r="L35" i="18" s="1"/>
  <c r="M35" i="18" s="1"/>
  <c r="W32" i="18"/>
  <c r="U31" i="19"/>
  <c r="O10" i="20"/>
  <c r="W29" i="18"/>
  <c r="U28" i="19"/>
  <c r="W10" i="18"/>
  <c r="U9" i="19"/>
  <c r="Q21" i="20"/>
  <c r="W16" i="18"/>
  <c r="U15" i="19"/>
  <c r="W20" i="18"/>
  <c r="U19" i="19"/>
  <c r="Q21" i="18"/>
  <c r="P21" i="18" s="1"/>
  <c r="T11" i="19"/>
  <c r="Q30" i="20"/>
  <c r="R9" i="19"/>
  <c r="Q43" i="19"/>
  <c r="R43" i="19" s="1"/>
  <c r="T21" i="19"/>
  <c r="Q27" i="20"/>
  <c r="Q14" i="18"/>
  <c r="P14" i="18" s="1"/>
  <c r="M37" i="18"/>
  <c r="W14" i="18"/>
  <c r="U13" i="19"/>
  <c r="W36" i="18"/>
  <c r="U35" i="19"/>
  <c r="W26" i="18"/>
  <c r="U25" i="19"/>
  <c r="T24" i="19"/>
  <c r="Q22" i="18"/>
  <c r="P22" i="18" s="1"/>
  <c r="Q23" i="20"/>
  <c r="Q12" i="20"/>
  <c r="W28" i="18"/>
  <c r="U27" i="19"/>
  <c r="O16" i="20"/>
  <c r="H44" i="18"/>
  <c r="W24" i="18"/>
  <c r="U23" i="19"/>
  <c r="W12" i="18"/>
  <c r="U11" i="19"/>
  <c r="T23" i="19"/>
  <c r="W18" i="18"/>
  <c r="U17" i="19"/>
  <c r="T12" i="19"/>
  <c r="T10" i="19"/>
  <c r="W19" i="18"/>
  <c r="U18" i="19"/>
  <c r="M38" i="20"/>
  <c r="L39" i="18" s="1"/>
  <c r="S38" i="19" s="1"/>
  <c r="N36" i="20"/>
  <c r="O24" i="20"/>
  <c r="M35" i="20"/>
  <c r="O36" i="20"/>
  <c r="M31" i="20"/>
  <c r="M19" i="20"/>
  <c r="M15" i="20"/>
  <c r="W34" i="18"/>
  <c r="U33" i="19"/>
  <c r="W30" i="18"/>
  <c r="U29" i="19"/>
  <c r="Q22" i="20"/>
  <c r="O38" i="20"/>
  <c r="O39" i="18" s="1"/>
  <c r="N37" i="20"/>
  <c r="G24" i="18"/>
  <c r="N24" i="18" s="1"/>
  <c r="M24" i="18" s="1"/>
  <c r="Q20" i="18"/>
  <c r="P20" i="18" s="1"/>
  <c r="W22" i="18"/>
  <c r="U21" i="19"/>
  <c r="W31" i="18"/>
  <c r="U30" i="19"/>
  <c r="W38" i="18"/>
  <c r="U37" i="19"/>
  <c r="W21" i="18"/>
  <c r="U20" i="19"/>
  <c r="W27" i="18"/>
  <c r="U26" i="19"/>
  <c r="T22" i="19"/>
  <c r="N17" i="11"/>
  <c r="Q27" i="11"/>
  <c r="T13" i="11"/>
  <c r="Q10" i="11"/>
  <c r="L41" i="16"/>
  <c r="N43" i="11"/>
  <c r="J42" i="20" s="1"/>
  <c r="K42" i="20" s="1"/>
  <c r="L42" i="20" s="1"/>
  <c r="L35" i="16"/>
  <c r="N37" i="11"/>
  <c r="J36" i="20" s="1"/>
  <c r="K36" i="20" s="1"/>
  <c r="L36" i="20" s="1"/>
  <c r="L25" i="16"/>
  <c r="N27" i="11"/>
  <c r="J26" i="20" s="1"/>
  <c r="K26" i="20" s="1"/>
  <c r="L26" i="20" s="1"/>
  <c r="L37" i="16"/>
  <c r="N39" i="11"/>
  <c r="J38" i="20" s="1"/>
  <c r="K38" i="20" s="1"/>
  <c r="L38" i="20" s="1"/>
  <c r="L31" i="16"/>
  <c r="N33" i="11"/>
  <c r="J32" i="20" s="1"/>
  <c r="K32" i="20" s="1"/>
  <c r="L32" i="20" s="1"/>
  <c r="L16" i="16"/>
  <c r="N18" i="11"/>
  <c r="L23" i="16"/>
  <c r="N25" i="11"/>
  <c r="J24" i="20" s="1"/>
  <c r="K24" i="20" s="1"/>
  <c r="L24" i="20" s="1"/>
  <c r="L39" i="16"/>
  <c r="N41" i="11"/>
  <c r="J40" i="20" s="1"/>
  <c r="K40" i="20" s="1"/>
  <c r="L40" i="20" s="1"/>
  <c r="L33" i="16"/>
  <c r="N35" i="11"/>
  <c r="J34" i="20" s="1"/>
  <c r="K34" i="20" s="1"/>
  <c r="L34" i="20" s="1"/>
  <c r="L24" i="16"/>
  <c r="N26" i="11"/>
  <c r="J25" i="20" s="1"/>
  <c r="K25" i="20" s="1"/>
  <c r="L25" i="20" s="1"/>
  <c r="S28" i="19"/>
  <c r="S14" i="19"/>
  <c r="S13" i="19"/>
  <c r="V12" i="16"/>
  <c r="V9" i="16"/>
  <c r="I17" i="16"/>
  <c r="I14" i="16"/>
  <c r="T29" i="16"/>
  <c r="V22" i="16"/>
  <c r="V27" i="16"/>
  <c r="V17" i="16"/>
  <c r="T27" i="16"/>
  <c r="T20" i="16"/>
  <c r="I18" i="16"/>
  <c r="T15" i="16"/>
  <c r="I38" i="16"/>
  <c r="I15" i="16"/>
  <c r="V19" i="16"/>
  <c r="O34" i="20"/>
  <c r="O35" i="18" s="1"/>
  <c r="I27" i="16"/>
  <c r="V20" i="16"/>
  <c r="R22" i="16"/>
  <c r="R9" i="16"/>
  <c r="R20" i="16"/>
  <c r="M9" i="20"/>
  <c r="L10" i="18" s="1"/>
  <c r="O32" i="20"/>
  <c r="V14" i="16"/>
  <c r="M26" i="20"/>
  <c r="M25" i="20"/>
  <c r="I28" i="16"/>
  <c r="R13" i="16"/>
  <c r="R17" i="16"/>
  <c r="T17" i="16"/>
  <c r="N18" i="20" s="1"/>
  <c r="T31" i="16"/>
  <c r="T22" i="16"/>
  <c r="I40" i="16"/>
  <c r="T9" i="16"/>
  <c r="I9" i="16"/>
  <c r="M17" i="20"/>
  <c r="M29" i="20"/>
  <c r="L28" i="16"/>
  <c r="T13" i="16"/>
  <c r="I13" i="16"/>
  <c r="R27" i="16"/>
  <c r="T34" i="16"/>
  <c r="V13" i="16"/>
  <c r="I12" i="16"/>
  <c r="T33" i="16"/>
  <c r="V37" i="19" l="1"/>
  <c r="V28" i="19"/>
  <c r="V25" i="19"/>
  <c r="V23" i="19"/>
  <c r="V29" i="19"/>
  <c r="V17" i="19"/>
  <c r="V15" i="19"/>
  <c r="V31" i="19"/>
  <c r="V26" i="19"/>
  <c r="V33" i="19"/>
  <c r="V11" i="19"/>
  <c r="V13" i="19"/>
  <c r="V9" i="19"/>
  <c r="V14" i="19"/>
  <c r="V21" i="19"/>
  <c r="V18" i="19"/>
  <c r="T20" i="19"/>
  <c r="T38" i="19"/>
  <c r="T18" i="19"/>
  <c r="Q31" i="20"/>
  <c r="L32" i="18"/>
  <c r="S31" i="19" s="1"/>
  <c r="Q32" i="20"/>
  <c r="O33" i="18"/>
  <c r="S34" i="19"/>
  <c r="Q36" i="20"/>
  <c r="O37" i="18"/>
  <c r="U36" i="19" s="1"/>
  <c r="Q17" i="20"/>
  <c r="L18" i="18"/>
  <c r="S17" i="19" s="1"/>
  <c r="Q35" i="20"/>
  <c r="L36" i="18"/>
  <c r="Q15" i="20"/>
  <c r="L16" i="18"/>
  <c r="S15" i="19" s="1"/>
  <c r="S37" i="19"/>
  <c r="M38" i="18"/>
  <c r="Q16" i="20"/>
  <c r="O17" i="18"/>
  <c r="U16" i="19" s="1"/>
  <c r="Q10" i="20"/>
  <c r="O11" i="18"/>
  <c r="Q29" i="20"/>
  <c r="L30" i="18"/>
  <c r="S29" i="19" s="1"/>
  <c r="Q25" i="20"/>
  <c r="L26" i="18"/>
  <c r="S25" i="19" s="1"/>
  <c r="Q19" i="20"/>
  <c r="L20" i="18"/>
  <c r="S19" i="19" s="1"/>
  <c r="Q26" i="20"/>
  <c r="L27" i="18"/>
  <c r="S26" i="19" s="1"/>
  <c r="I16" i="18"/>
  <c r="J16" i="18" s="1"/>
  <c r="F16" i="18"/>
  <c r="G16" i="18" s="1"/>
  <c r="N16" i="18" s="1"/>
  <c r="I37" i="18"/>
  <c r="J37" i="18" s="1"/>
  <c r="F37" i="18"/>
  <c r="I11" i="18"/>
  <c r="J11" i="18" s="1"/>
  <c r="Q11" i="18" s="1"/>
  <c r="F11" i="18"/>
  <c r="G11" i="18" s="1"/>
  <c r="N11" i="18" s="1"/>
  <c r="M11" i="18" s="1"/>
  <c r="I25" i="18"/>
  <c r="J25" i="18" s="1"/>
  <c r="F25" i="18"/>
  <c r="I15" i="18"/>
  <c r="J15" i="18" s="1"/>
  <c r="Q15" i="18" s="1"/>
  <c r="P15" i="18" s="1"/>
  <c r="F15" i="18"/>
  <c r="I19" i="18"/>
  <c r="J19" i="18" s="1"/>
  <c r="F19" i="18"/>
  <c r="I35" i="18"/>
  <c r="J35" i="18" s="1"/>
  <c r="F35" i="18"/>
  <c r="I27" i="18"/>
  <c r="J27" i="18" s="1"/>
  <c r="F27" i="18"/>
  <c r="I26" i="18"/>
  <c r="J26" i="18" s="1"/>
  <c r="F26" i="18"/>
  <c r="I43" i="18"/>
  <c r="J43" i="18" s="1"/>
  <c r="F43" i="18"/>
  <c r="I29" i="18"/>
  <c r="J29" i="18" s="1"/>
  <c r="Q29" i="18" s="1"/>
  <c r="P29" i="18" s="1"/>
  <c r="F29" i="18"/>
  <c r="G29" i="18" s="1"/>
  <c r="N29" i="18" s="1"/>
  <c r="M29" i="18" s="1"/>
  <c r="I33" i="18"/>
  <c r="J33" i="18" s="1"/>
  <c r="F33" i="18"/>
  <c r="I41" i="18"/>
  <c r="J41" i="18" s="1"/>
  <c r="F41" i="18"/>
  <c r="I39" i="18"/>
  <c r="J39" i="18" s="1"/>
  <c r="F39" i="18"/>
  <c r="I13" i="18"/>
  <c r="J13" i="18" s="1"/>
  <c r="Q13" i="18" s="1"/>
  <c r="P13" i="18" s="1"/>
  <c r="F13" i="18"/>
  <c r="D13" i="18" s="1"/>
  <c r="Q24" i="20"/>
  <c r="O25" i="18"/>
  <c r="U24" i="19" s="1"/>
  <c r="W23" i="19"/>
  <c r="X23" i="19" s="1"/>
  <c r="D15" i="18"/>
  <c r="Q19" i="18"/>
  <c r="P19" i="18" s="1"/>
  <c r="J17" i="20"/>
  <c r="K17" i="20" s="1"/>
  <c r="L17" i="20" s="1"/>
  <c r="L9" i="20"/>
  <c r="J16" i="20"/>
  <c r="K16" i="20" s="1"/>
  <c r="L16" i="20" s="1"/>
  <c r="M33" i="20"/>
  <c r="N14" i="20"/>
  <c r="T28" i="19"/>
  <c r="W28" i="19"/>
  <c r="X28" i="19" s="1"/>
  <c r="Q34" i="18"/>
  <c r="P34" i="18" s="1"/>
  <c r="D34" i="18"/>
  <c r="N23" i="20"/>
  <c r="P15" i="20"/>
  <c r="P21" i="20"/>
  <c r="N21" i="20"/>
  <c r="P10" i="20"/>
  <c r="W30" i="19"/>
  <c r="X30" i="19" s="1"/>
  <c r="V30" i="19"/>
  <c r="W25" i="18"/>
  <c r="V35" i="19"/>
  <c r="W11" i="19"/>
  <c r="X11" i="19" s="1"/>
  <c r="V19" i="19"/>
  <c r="G19" i="18"/>
  <c r="N19" i="18" s="1"/>
  <c r="M19" i="18" s="1"/>
  <c r="N30" i="20"/>
  <c r="N10" i="20"/>
  <c r="N34" i="20"/>
  <c r="N32" i="20"/>
  <c r="N28" i="20"/>
  <c r="W13" i="18"/>
  <c r="U12" i="19"/>
  <c r="Q38" i="18"/>
  <c r="P38" i="18" s="1"/>
  <c r="D24" i="18"/>
  <c r="Q24" i="18"/>
  <c r="P24" i="18" s="1"/>
  <c r="K24" i="18" s="1"/>
  <c r="S23" i="20" s="1"/>
  <c r="Q30" i="18"/>
  <c r="P30" i="18" s="1"/>
  <c r="P13" i="20"/>
  <c r="G23" i="18"/>
  <c r="N23" i="18" s="1"/>
  <c r="M23" i="18" s="1"/>
  <c r="W17" i="18"/>
  <c r="W21" i="19"/>
  <c r="X21" i="19" s="1"/>
  <c r="W18" i="19"/>
  <c r="X18" i="19" s="1"/>
  <c r="P23" i="20"/>
  <c r="Q9" i="20"/>
  <c r="P18" i="20"/>
  <c r="R18" i="20" s="1"/>
  <c r="Q42" i="18"/>
  <c r="P14" i="20"/>
  <c r="P20" i="20"/>
  <c r="P28" i="20"/>
  <c r="T13" i="19"/>
  <c r="W13" i="19"/>
  <c r="X13" i="19" s="1"/>
  <c r="W23" i="18"/>
  <c r="U22" i="19"/>
  <c r="M32" i="18"/>
  <c r="Q38" i="20"/>
  <c r="W27" i="19"/>
  <c r="X27" i="19" s="1"/>
  <c r="V27" i="19"/>
  <c r="G22" i="18"/>
  <c r="N22" i="18" s="1"/>
  <c r="M22" i="18" s="1"/>
  <c r="K22" i="18" s="1"/>
  <c r="S21" i="20" s="1"/>
  <c r="D22" i="18"/>
  <c r="Q34" i="20"/>
  <c r="W20" i="19"/>
  <c r="X20" i="19" s="1"/>
  <c r="V20" i="19"/>
  <c r="D16" i="18"/>
  <c r="Q16" i="18"/>
  <c r="P16" i="18" s="1"/>
  <c r="W37" i="18"/>
  <c r="W39" i="18"/>
  <c r="U38" i="19"/>
  <c r="N35" i="20"/>
  <c r="T14" i="19"/>
  <c r="W14" i="19"/>
  <c r="X14" i="19" s="1"/>
  <c r="Q28" i="18"/>
  <c r="P28" i="18" s="1"/>
  <c r="N16" i="20"/>
  <c r="Q36" i="18"/>
  <c r="P36" i="18" s="1"/>
  <c r="G20" i="18"/>
  <c r="N20" i="18" s="1"/>
  <c r="D20" i="18"/>
  <c r="D14" i="18"/>
  <c r="G14" i="18"/>
  <c r="N14" i="18" s="1"/>
  <c r="M14" i="18" s="1"/>
  <c r="K14" i="18" s="1"/>
  <c r="S13" i="20" s="1"/>
  <c r="D21" i="18"/>
  <c r="G21" i="18"/>
  <c r="N21" i="18" s="1"/>
  <c r="M21" i="18" s="1"/>
  <c r="K21" i="18" s="1"/>
  <c r="S20" i="20" s="1"/>
  <c r="W11" i="18"/>
  <c r="U10" i="19"/>
  <c r="W8" i="16"/>
  <c r="S9" i="19"/>
  <c r="V28" i="16"/>
  <c r="V26" i="16"/>
  <c r="X17" i="16"/>
  <c r="T18" i="16"/>
  <c r="T11" i="16"/>
  <c r="V21" i="16"/>
  <c r="V24" i="16"/>
  <c r="R14" i="16"/>
  <c r="X27" i="16"/>
  <c r="T14" i="16"/>
  <c r="X9" i="16"/>
  <c r="X20" i="16"/>
  <c r="R21" i="16"/>
  <c r="I39" i="16"/>
  <c r="R28" i="16"/>
  <c r="R15" i="16"/>
  <c r="R12" i="16"/>
  <c r="R18" i="16"/>
  <c r="I41" i="16"/>
  <c r="R11" i="16"/>
  <c r="R19" i="16"/>
  <c r="V10" i="16"/>
  <c r="X22" i="16"/>
  <c r="T32" i="16"/>
  <c r="I8" i="16"/>
  <c r="V18" i="16"/>
  <c r="T26" i="16"/>
  <c r="T19" i="16"/>
  <c r="T30" i="16"/>
  <c r="L8" i="16"/>
  <c r="X13" i="16"/>
  <c r="T12" i="16"/>
  <c r="V11" i="16"/>
  <c r="I11" i="16"/>
  <c r="I34" i="16"/>
  <c r="I10" i="16"/>
  <c r="I26" i="16"/>
  <c r="I32" i="16"/>
  <c r="I36" i="16"/>
  <c r="T28" i="16"/>
  <c r="I30" i="16"/>
  <c r="I29" i="16"/>
  <c r="V15" i="16"/>
  <c r="I21" i="16"/>
  <c r="T21" i="16"/>
  <c r="N22" i="20" s="1"/>
  <c r="M16" i="18" l="1"/>
  <c r="P11" i="18"/>
  <c r="K11" i="18" s="1"/>
  <c r="S10" i="20" s="1"/>
  <c r="T19" i="19"/>
  <c r="M20" i="18"/>
  <c r="K20" i="18" s="1"/>
  <c r="S19" i="20" s="1"/>
  <c r="W19" i="19"/>
  <c r="X19" i="19" s="1"/>
  <c r="W31" i="19"/>
  <c r="X31" i="19" s="1"/>
  <c r="W37" i="19"/>
  <c r="X37" i="19" s="1"/>
  <c r="T15" i="19"/>
  <c r="W15" i="19"/>
  <c r="X15" i="19" s="1"/>
  <c r="K38" i="18"/>
  <c r="S37" i="20" s="1"/>
  <c r="R21" i="20"/>
  <c r="T21" i="20" s="1"/>
  <c r="U21" i="20" s="1"/>
  <c r="Q33" i="20"/>
  <c r="L34" i="18"/>
  <c r="M36" i="18"/>
  <c r="K36" i="18" s="1"/>
  <c r="S35" i="20" s="1"/>
  <c r="S35" i="19"/>
  <c r="K29" i="18"/>
  <c r="S28" i="20" s="1"/>
  <c r="D29" i="18"/>
  <c r="I17" i="18"/>
  <c r="J17" i="18" s="1"/>
  <c r="Q17" i="18" s="1"/>
  <c r="P17" i="18" s="1"/>
  <c r="F17" i="18"/>
  <c r="G13" i="18"/>
  <c r="N13" i="18" s="1"/>
  <c r="M13" i="18" s="1"/>
  <c r="K13" i="18" s="1"/>
  <c r="S12" i="20" s="1"/>
  <c r="I10" i="18"/>
  <c r="F10" i="18"/>
  <c r="I18" i="18"/>
  <c r="J18" i="18" s="1"/>
  <c r="F18" i="18"/>
  <c r="D11" i="18"/>
  <c r="K16" i="18"/>
  <c r="S15" i="20" s="1"/>
  <c r="G15" i="18"/>
  <c r="N15" i="18" s="1"/>
  <c r="M15" i="18" s="1"/>
  <c r="K15" i="18" s="1"/>
  <c r="S14" i="20" s="1"/>
  <c r="D19" i="18"/>
  <c r="D20" i="17"/>
  <c r="D21" i="17" s="1"/>
  <c r="K19" i="18"/>
  <c r="S18" i="20" s="1"/>
  <c r="T18" i="20" s="1"/>
  <c r="U18" i="20" s="1"/>
  <c r="D36" i="18"/>
  <c r="R28" i="20"/>
  <c r="R14" i="20"/>
  <c r="R23" i="20"/>
  <c r="T23" i="20" s="1"/>
  <c r="U23" i="20" s="1"/>
  <c r="Q26" i="18"/>
  <c r="P26" i="18" s="1"/>
  <c r="V36" i="19"/>
  <c r="W36" i="19"/>
  <c r="X36" i="19" s="1"/>
  <c r="N27" i="20"/>
  <c r="N19" i="20"/>
  <c r="W17" i="19"/>
  <c r="X17" i="19" s="1"/>
  <c r="T17" i="19"/>
  <c r="W35" i="18"/>
  <c r="U34" i="19"/>
  <c r="D40" i="18"/>
  <c r="Q40" i="18"/>
  <c r="P19" i="20"/>
  <c r="Q12" i="18"/>
  <c r="P12" i="18" s="1"/>
  <c r="D31" i="18"/>
  <c r="Q31" i="18"/>
  <c r="P31" i="18" s="1"/>
  <c r="K31" i="18" s="1"/>
  <c r="S30" i="20" s="1"/>
  <c r="D23" i="18"/>
  <c r="Q23" i="18"/>
  <c r="P23" i="18" s="1"/>
  <c r="K23" i="18" s="1"/>
  <c r="S22" i="20" s="1"/>
  <c r="V24" i="19"/>
  <c r="W24" i="19"/>
  <c r="X24" i="19" s="1"/>
  <c r="N29" i="20"/>
  <c r="N13" i="20"/>
  <c r="R13" i="20" s="1"/>
  <c r="T13" i="20" s="1"/>
  <c r="U13" i="20" s="1"/>
  <c r="P27" i="20"/>
  <c r="T26" i="19"/>
  <c r="W26" i="19"/>
  <c r="X26" i="19" s="1"/>
  <c r="G28" i="18"/>
  <c r="N28" i="18" s="1"/>
  <c r="M28" i="18" s="1"/>
  <c r="K28" i="18" s="1"/>
  <c r="S27" i="20" s="1"/>
  <c r="D28" i="18"/>
  <c r="W38" i="19"/>
  <c r="X38" i="19" s="1"/>
  <c r="V38" i="19"/>
  <c r="D42" i="18"/>
  <c r="Q41" i="18"/>
  <c r="D32" i="18"/>
  <c r="Q32" i="18"/>
  <c r="P32" i="18" s="1"/>
  <c r="K32" i="18" s="1"/>
  <c r="S31" i="20" s="1"/>
  <c r="P12" i="20"/>
  <c r="N33" i="20"/>
  <c r="V10" i="19"/>
  <c r="W10" i="19"/>
  <c r="X10" i="19" s="1"/>
  <c r="P25" i="20"/>
  <c r="W9" i="19"/>
  <c r="T9" i="19"/>
  <c r="T29" i="19"/>
  <c r="W29" i="19"/>
  <c r="X29" i="19" s="1"/>
  <c r="Q27" i="18"/>
  <c r="P27" i="18" s="1"/>
  <c r="Q43" i="18"/>
  <c r="P11" i="20"/>
  <c r="P22" i="20"/>
  <c r="R22" i="20" s="1"/>
  <c r="Q33" i="18"/>
  <c r="P33" i="18" s="1"/>
  <c r="K33" i="18" s="1"/>
  <c r="S32" i="20" s="1"/>
  <c r="D10" i="18"/>
  <c r="R10" i="18" s="1"/>
  <c r="J10" i="18"/>
  <c r="Q10" i="18" s="1"/>
  <c r="P10" i="18" s="1"/>
  <c r="D30" i="18"/>
  <c r="G30" i="18"/>
  <c r="N30" i="18" s="1"/>
  <c r="M30" i="18" s="1"/>
  <c r="K30" i="18" s="1"/>
  <c r="S29" i="20" s="1"/>
  <c r="D38" i="18"/>
  <c r="N15" i="20"/>
  <c r="R15" i="20" s="1"/>
  <c r="P29" i="20"/>
  <c r="Q18" i="18"/>
  <c r="P18" i="18" s="1"/>
  <c r="N31" i="20"/>
  <c r="N12" i="20"/>
  <c r="W33" i="18"/>
  <c r="U32" i="19"/>
  <c r="W25" i="19"/>
  <c r="X25" i="19" s="1"/>
  <c r="T25" i="19"/>
  <c r="G39" i="18"/>
  <c r="N39" i="18" s="1"/>
  <c r="M39" i="18" s="1"/>
  <c r="Q35" i="18"/>
  <c r="P35" i="18" s="1"/>
  <c r="K35" i="18" s="1"/>
  <c r="S34" i="20" s="1"/>
  <c r="G17" i="18"/>
  <c r="N17" i="18" s="1"/>
  <c r="M17" i="18" s="1"/>
  <c r="D17" i="18"/>
  <c r="V22" i="19"/>
  <c r="W22" i="19"/>
  <c r="X22" i="19" s="1"/>
  <c r="W16" i="19"/>
  <c r="X16" i="19" s="1"/>
  <c r="V16" i="19"/>
  <c r="V12" i="19"/>
  <c r="W12" i="19"/>
  <c r="X12" i="19" s="1"/>
  <c r="R10" i="20"/>
  <c r="P16" i="20"/>
  <c r="R16" i="20" s="1"/>
  <c r="N20" i="20"/>
  <c r="R20" i="20" s="1"/>
  <c r="T20" i="20" s="1"/>
  <c r="U20" i="20" s="1"/>
  <c r="Q37" i="18"/>
  <c r="P37" i="18" s="1"/>
  <c r="K37" i="18" s="1"/>
  <c r="S36" i="20" s="1"/>
  <c r="X15" i="16"/>
  <c r="X19" i="16"/>
  <c r="X28" i="16"/>
  <c r="X12" i="16"/>
  <c r="X14" i="16"/>
  <c r="X18" i="16"/>
  <c r="X26" i="16"/>
  <c r="X21" i="16"/>
  <c r="X11" i="16"/>
  <c r="T37" i="16"/>
  <c r="V25" i="16"/>
  <c r="T23" i="16"/>
  <c r="V16" i="16"/>
  <c r="R10" i="16"/>
  <c r="R36" i="16"/>
  <c r="R34" i="16"/>
  <c r="R30" i="16"/>
  <c r="R26" i="16"/>
  <c r="R32" i="16"/>
  <c r="R29" i="16"/>
  <c r="V30" i="16"/>
  <c r="T10" i="16"/>
  <c r="V34" i="16"/>
  <c r="V29" i="16"/>
  <c r="V32" i="16"/>
  <c r="I31" i="16"/>
  <c r="I33" i="16"/>
  <c r="I37" i="16"/>
  <c r="I35" i="16"/>
  <c r="I25" i="16"/>
  <c r="V36" i="16"/>
  <c r="I24" i="16"/>
  <c r="I16" i="16"/>
  <c r="T16" i="16"/>
  <c r="I23" i="16"/>
  <c r="K17" i="18" l="1"/>
  <c r="S16" i="20" s="1"/>
  <c r="W35" i="19"/>
  <c r="X35" i="19" s="1"/>
  <c r="T16" i="20"/>
  <c r="U16" i="20" s="1"/>
  <c r="T28" i="20"/>
  <c r="U28" i="20" s="1"/>
  <c r="T15" i="20"/>
  <c r="U15" i="20" s="1"/>
  <c r="T10" i="20"/>
  <c r="U10" i="20" s="1"/>
  <c r="T22" i="20"/>
  <c r="U22" i="20" s="1"/>
  <c r="S33" i="19"/>
  <c r="M34" i="18"/>
  <c r="K34" i="18" s="1"/>
  <c r="S33" i="20" s="1"/>
  <c r="R12" i="20"/>
  <c r="T12" i="20" s="1"/>
  <c r="U12" i="20" s="1"/>
  <c r="T14" i="20"/>
  <c r="U14" i="20" s="1"/>
  <c r="F44" i="18"/>
  <c r="G10" i="18"/>
  <c r="N10" i="18" s="1"/>
  <c r="M10" i="18" s="1"/>
  <c r="K10" i="18" s="1"/>
  <c r="S9" i="20" s="1"/>
  <c r="D43" i="18"/>
  <c r="D37" i="18"/>
  <c r="D41" i="18"/>
  <c r="N38" i="20"/>
  <c r="D35" i="18"/>
  <c r="R19" i="20"/>
  <c r="T19" i="20" s="1"/>
  <c r="U19" i="20" s="1"/>
  <c r="N17" i="20"/>
  <c r="P33" i="20"/>
  <c r="R33" i="20" s="1"/>
  <c r="D14" i="17"/>
  <c r="D24" i="17" s="1"/>
  <c r="D25" i="17" s="1"/>
  <c r="Q25" i="18"/>
  <c r="P25" i="18" s="1"/>
  <c r="P37" i="20"/>
  <c r="R37" i="20" s="1"/>
  <c r="T37" i="20" s="1"/>
  <c r="U37" i="20" s="1"/>
  <c r="P30" i="20"/>
  <c r="R30" i="20" s="1"/>
  <c r="T30" i="20" s="1"/>
  <c r="U30" i="20" s="1"/>
  <c r="D33" i="18"/>
  <c r="P26" i="20"/>
  <c r="P35" i="20"/>
  <c r="R35" i="20" s="1"/>
  <c r="T35" i="20" s="1"/>
  <c r="U35" i="20" s="1"/>
  <c r="D39" i="18"/>
  <c r="Q39" i="18"/>
  <c r="P39" i="18" s="1"/>
  <c r="K39" i="18" s="1"/>
  <c r="S38" i="20" s="1"/>
  <c r="X9" i="19"/>
  <c r="R27" i="20"/>
  <c r="T27" i="20" s="1"/>
  <c r="U27" i="20" s="1"/>
  <c r="N11" i="20"/>
  <c r="R11" i="20" s="1"/>
  <c r="P31" i="20"/>
  <c r="R31" i="20" s="1"/>
  <c r="T31" i="20" s="1"/>
  <c r="U31" i="20" s="1"/>
  <c r="D18" i="18"/>
  <c r="G18" i="18"/>
  <c r="N18" i="18" s="1"/>
  <c r="M18" i="18" s="1"/>
  <c r="K18" i="18" s="1"/>
  <c r="S17" i="20" s="1"/>
  <c r="R29" i="20"/>
  <c r="T29" i="20" s="1"/>
  <c r="U29" i="20" s="1"/>
  <c r="V34" i="19"/>
  <c r="W34" i="19"/>
  <c r="X34" i="19" s="1"/>
  <c r="P17" i="20"/>
  <c r="W32" i="19"/>
  <c r="X32" i="19" s="1"/>
  <c r="V32" i="19"/>
  <c r="G27" i="18"/>
  <c r="N27" i="18" s="1"/>
  <c r="M27" i="18" s="1"/>
  <c r="K27" i="18" s="1"/>
  <c r="S26" i="20" s="1"/>
  <c r="D27" i="18"/>
  <c r="G12" i="18"/>
  <c r="N12" i="18" s="1"/>
  <c r="M12" i="18" s="1"/>
  <c r="K12" i="18" s="1"/>
  <c r="S11" i="20" s="1"/>
  <c r="D12" i="18"/>
  <c r="D26" i="18"/>
  <c r="G26" i="18"/>
  <c r="N26" i="18" s="1"/>
  <c r="M26" i="18" s="1"/>
  <c r="K26" i="18" s="1"/>
  <c r="S25" i="20" s="1"/>
  <c r="N24" i="20"/>
  <c r="X36" i="16"/>
  <c r="X32" i="16"/>
  <c r="X29" i="16"/>
  <c r="X34" i="16"/>
  <c r="X10" i="16"/>
  <c r="X30" i="16"/>
  <c r="X16" i="16"/>
  <c r="R31" i="16"/>
  <c r="R33" i="16"/>
  <c r="R25" i="16"/>
  <c r="R23" i="16"/>
  <c r="R35" i="16"/>
  <c r="R16" i="16"/>
  <c r="R37" i="16"/>
  <c r="V23" i="16"/>
  <c r="R24" i="16"/>
  <c r="T24" i="16"/>
  <c r="V33" i="16"/>
  <c r="T25" i="16"/>
  <c r="V37" i="16"/>
  <c r="V35" i="16"/>
  <c r="V31" i="16"/>
  <c r="C9" i="3"/>
  <c r="D9" i="3"/>
  <c r="W33" i="19" l="1"/>
  <c r="X33" i="19" s="1"/>
  <c r="T11" i="20"/>
  <c r="U11" i="20" s="1"/>
  <c r="T33" i="20"/>
  <c r="U33" i="20" s="1"/>
  <c r="I44" i="18"/>
  <c r="D44" i="18"/>
  <c r="P24" i="20"/>
  <c r="R24" i="20" s="1"/>
  <c r="P32" i="20"/>
  <c r="R32" i="20" s="1"/>
  <c r="T32" i="20" s="1"/>
  <c r="U32" i="20" s="1"/>
  <c r="R17" i="20"/>
  <c r="T17" i="20" s="1"/>
  <c r="U17" i="20" s="1"/>
  <c r="P36" i="20"/>
  <c r="R36" i="20" s="1"/>
  <c r="T36" i="20" s="1"/>
  <c r="U36" i="20" s="1"/>
  <c r="P38" i="20"/>
  <c r="R38" i="20" s="1"/>
  <c r="T38" i="20" s="1"/>
  <c r="U38" i="20" s="1"/>
  <c r="D25" i="18"/>
  <c r="G25" i="18"/>
  <c r="N25" i="18" s="1"/>
  <c r="M25" i="18" s="1"/>
  <c r="K25" i="18" s="1"/>
  <c r="S24" i="20" s="1"/>
  <c r="P34" i="20"/>
  <c r="R34" i="20" s="1"/>
  <c r="T34" i="20" s="1"/>
  <c r="U34" i="20" s="1"/>
  <c r="N26" i="20"/>
  <c r="R26" i="20" s="1"/>
  <c r="T26" i="20" s="1"/>
  <c r="U26" i="20" s="1"/>
  <c r="N25" i="20"/>
  <c r="R25" i="20" s="1"/>
  <c r="T25" i="20" s="1"/>
  <c r="U25" i="20" s="1"/>
  <c r="X33" i="16"/>
  <c r="X24" i="16"/>
  <c r="X23" i="16"/>
  <c r="X25" i="16"/>
  <c r="X31" i="16"/>
  <c r="X35" i="16"/>
  <c r="X37" i="16"/>
  <c r="T24" i="20" l="1"/>
  <c r="U24" i="20" s="1"/>
  <c r="V8" i="16"/>
  <c r="P9" i="20" l="1"/>
  <c r="R11" i="3"/>
  <c r="Q11" i="3"/>
  <c r="P11" i="3"/>
  <c r="R10" i="3"/>
  <c r="Q10" i="3"/>
  <c r="Q9" i="3" s="1"/>
  <c r="P10" i="3"/>
  <c r="P9" i="3" s="1"/>
  <c r="K10" i="3"/>
  <c r="K9" i="3" s="1"/>
  <c r="J10" i="3"/>
  <c r="J9" i="3" s="1"/>
  <c r="I10" i="3"/>
  <c r="I9" i="3" s="1"/>
  <c r="H9" i="3"/>
  <c r="G9" i="3"/>
  <c r="F9" i="3"/>
  <c r="E9" i="3"/>
  <c r="R9" i="3" l="1"/>
  <c r="M41" i="20" l="1"/>
  <c r="L42" i="18" s="1"/>
  <c r="S41" i="19" s="1"/>
  <c r="M42" i="20"/>
  <c r="L43" i="18" s="1"/>
  <c r="S42" i="19" s="1"/>
  <c r="M42" i="18"/>
  <c r="M43" i="18" l="1"/>
  <c r="M40" i="20"/>
  <c r="L41" i="18" s="1"/>
  <c r="S40" i="19" s="1"/>
  <c r="M39" i="20"/>
  <c r="L40" i="18" s="1"/>
  <c r="S39" i="19" s="1"/>
  <c r="M41" i="18" l="1"/>
  <c r="S43" i="19"/>
  <c r="T43" i="19" s="1"/>
  <c r="L44" i="18"/>
  <c r="M40" i="18"/>
  <c r="M44" i="18" s="1"/>
  <c r="Q41" i="16"/>
  <c r="Q39" i="16"/>
  <c r="Q40" i="16"/>
  <c r="O42" i="20"/>
  <c r="O41" i="20"/>
  <c r="O40" i="20"/>
  <c r="Q41" i="20" l="1"/>
  <c r="O42" i="18"/>
  <c r="Q42" i="20"/>
  <c r="O43" i="18"/>
  <c r="Q40" i="20"/>
  <c r="O41" i="18"/>
  <c r="O39" i="20"/>
  <c r="Q38" i="16"/>
  <c r="O40" i="18" l="1"/>
  <c r="Q39" i="20"/>
  <c r="W42" i="18"/>
  <c r="U41" i="19"/>
  <c r="W41" i="18"/>
  <c r="U40" i="19"/>
  <c r="W43" i="18"/>
  <c r="U42" i="19"/>
  <c r="P41" i="18"/>
  <c r="K41" i="18" s="1"/>
  <c r="S40" i="20" s="1"/>
  <c r="P43" i="18"/>
  <c r="K43" i="18" s="1"/>
  <c r="S42" i="20" s="1"/>
  <c r="P42" i="18"/>
  <c r="K42" i="18" s="1"/>
  <c r="S41" i="20" s="1"/>
  <c r="R39" i="16"/>
  <c r="V39" i="16"/>
  <c r="R41" i="16"/>
  <c r="V41" i="16"/>
  <c r="V42" i="19" l="1"/>
  <c r="W42" i="19"/>
  <c r="X42" i="19" s="1"/>
  <c r="W40" i="19"/>
  <c r="X40" i="19" s="1"/>
  <c r="V40" i="19"/>
  <c r="W40" i="18"/>
  <c r="U39" i="19"/>
  <c r="P42" i="20"/>
  <c r="R42" i="20" s="1"/>
  <c r="T42" i="20" s="1"/>
  <c r="U42" i="20" s="1"/>
  <c r="V41" i="19"/>
  <c r="W41" i="19"/>
  <c r="X41" i="19" s="1"/>
  <c r="P40" i="20"/>
  <c r="R40" i="20" s="1"/>
  <c r="T40" i="20" s="1"/>
  <c r="U40" i="20" s="1"/>
  <c r="P40" i="18"/>
  <c r="O44" i="18"/>
  <c r="X41" i="16"/>
  <c r="X39" i="16"/>
  <c r="R40" i="16"/>
  <c r="V40" i="16"/>
  <c r="V39" i="19" l="1"/>
  <c r="U43" i="19"/>
  <c r="W39" i="19"/>
  <c r="P41" i="20"/>
  <c r="R41" i="20" s="1"/>
  <c r="T41" i="20" s="1"/>
  <c r="U41" i="20" s="1"/>
  <c r="K40" i="18"/>
  <c r="S39" i="20" s="1"/>
  <c r="P44" i="18"/>
  <c r="X40" i="16"/>
  <c r="R38" i="16"/>
  <c r="V38" i="16"/>
  <c r="P39" i="20" s="1"/>
  <c r="V43" i="19" l="1"/>
  <c r="X39" i="19"/>
  <c r="W43" i="19"/>
  <c r="X43" i="19" s="1"/>
  <c r="R39" i="20"/>
  <c r="T39" i="20" s="1"/>
  <c r="K44" i="18"/>
  <c r="X38" i="16"/>
  <c r="U39" i="20" l="1"/>
  <c r="T8" i="16"/>
  <c r="R8" i="16"/>
  <c r="N9" i="20" l="1"/>
  <c r="X8" i="16"/>
  <c r="R9" i="20" l="1"/>
  <c r="T9" i="20" l="1"/>
  <c r="U9" i="20" l="1"/>
  <c r="E20" i="17" s="1"/>
  <c r="E14" i="17" s="1"/>
  <c r="G14" i="17" s="1"/>
  <c r="F20" i="17" l="1"/>
  <c r="F14" i="17" s="1"/>
  <c r="E21" i="17"/>
  <c r="G20" i="17"/>
  <c r="E24" i="17"/>
  <c r="E25" i="17" s="1"/>
  <c r="G21" i="17" l="1"/>
  <c r="F21" i="17"/>
  <c r="G24" i="17"/>
  <c r="F24" i="17"/>
</calcChain>
</file>

<file path=xl/sharedStrings.xml><?xml version="1.0" encoding="utf-8"?>
<sst xmlns="http://schemas.openxmlformats.org/spreadsheetml/2006/main" count="969" uniqueCount="257">
  <si>
    <t>III</t>
  </si>
  <si>
    <t>B</t>
  </si>
  <si>
    <t>A</t>
  </si>
  <si>
    <t>BẢO HIỂM XÃ HỘI VIỆT NAM</t>
  </si>
  <si>
    <t>Đơn vị tính: Triệu đồng</t>
  </si>
  <si>
    <t>STT</t>
  </si>
  <si>
    <t>Tên cơ sở KCB</t>
  </si>
  <si>
    <t>Mã cơ sở KCB</t>
  </si>
  <si>
    <t>Nội trú</t>
  </si>
  <si>
    <t>Ngoại trú</t>
  </si>
  <si>
    <t>Tổng cộng</t>
  </si>
  <si>
    <t>Số lượt</t>
  </si>
  <si>
    <t xml:space="preserve">Số tiền </t>
  </si>
  <si>
    <t>Bệnh viện đa khoa tỉnh Bình Định</t>
  </si>
  <si>
    <t>Trung tâm y tế thành phố  Quy Nhơn</t>
  </si>
  <si>
    <t>Trung tâm y tế huyện Tuy Phước</t>
  </si>
  <si>
    <t>Trung tâm y tế thị xã An Nhơn</t>
  </si>
  <si>
    <t>Trung tâm y tế huyện Phù Cát</t>
  </si>
  <si>
    <t>Trung tâm y tế huyện Phù Mỹ</t>
  </si>
  <si>
    <t>Trung tâm y tế huyện Hoài Nhơn</t>
  </si>
  <si>
    <t>Trung tâm y tế huyện Hoài Ân</t>
  </si>
  <si>
    <t>Trung tâm y tế huyện Tây Sơn</t>
  </si>
  <si>
    <t>Trung tâm y tế huyện An Lão</t>
  </si>
  <si>
    <t>Trung tâm y tế huyện Vĩnh Thạnh</t>
  </si>
  <si>
    <t>Trung tâm y tế huyện Vân Canh</t>
  </si>
  <si>
    <t>Bệnh viện đa khoa KV Bồng Sơn</t>
  </si>
  <si>
    <t>Bệnh viện 13/QK5</t>
  </si>
  <si>
    <t>Bệnh viện Lao và các bệnh phổi Bình Định</t>
  </si>
  <si>
    <t>Bệnh viện Y học cổ truyền và Phục hồi chức năng</t>
  </si>
  <si>
    <t>Bệnh viện Tâm thần Bình Định</t>
  </si>
  <si>
    <t>Bệnh viện CH và PHCN Quy Nhơn</t>
  </si>
  <si>
    <t>Bệnh viện Mắt tỉnh Bình Định</t>
  </si>
  <si>
    <t>Bênh viện Phong - Da liễu trung ương Quy Hòa</t>
  </si>
  <si>
    <t>Bệnh viện đa khoa tư nhân Hòa Bình</t>
  </si>
  <si>
    <t>Trung tâm Kiểm soát bệnh tật tỉnh Bình Định</t>
  </si>
  <si>
    <t>Phòng khám đa khoa tư nhân 38 Lê Lợi</t>
  </si>
  <si>
    <t>Phòng khám đa khoa tư nhân Hương Sơn</t>
  </si>
  <si>
    <t>Phòng khám đa khoa tư nhân Thành Long</t>
  </si>
  <si>
    <t>Phòng khám đa khoa Diêu Trì</t>
  </si>
  <si>
    <t>Phòng khám đa khoa Toàn Mỹ</t>
  </si>
  <si>
    <t>PKĐK Phạm Ngọc Thạch</t>
  </si>
  <si>
    <t>Phòng khám đa khoa Giang San</t>
  </si>
  <si>
    <t>Phòng khám đa khoa Bửu Hoa</t>
  </si>
  <si>
    <t>Phòng khám đa khoa Quốc tế Thu Phúc</t>
  </si>
  <si>
    <t>Phòng khám đa khoa Thành Danh</t>
  </si>
  <si>
    <t>Phòng khám đa khoa Đinh Trọng Sơn</t>
  </si>
  <si>
    <t>Ước thực hiện năm 2021</t>
  </si>
  <si>
    <t>ĐƠN VỊ: BẢO HIỂM XÃ HỘI TỈNH BÌNH ĐỊNH</t>
  </si>
  <si>
    <t xml:space="preserve">KẾ HOẠCH PHÁT TRIỂN ĐỐI TƯỢNG THAM GIA  BHXH, BHTN, BHYT VÀ DỰ TOÁN THU 3 NĂM </t>
  </si>
  <si>
    <t>Từ năm 2022 đến năm 2024</t>
  </si>
  <si>
    <t>Số
TT</t>
  </si>
  <si>
    <t>NỘI DUNG</t>
  </si>
  <si>
    <t>Số thẻ</t>
  </si>
  <si>
    <t>Số thẻ tăng thêm so với năm trước</t>
  </si>
  <si>
    <t>Tiền thu BHYT</t>
  </si>
  <si>
    <t>Tiền tăng thêm so với năm trước</t>
  </si>
  <si>
    <t>Ước thực hiện 2021</t>
  </si>
  <si>
    <t>Dự toán</t>
  </si>
  <si>
    <t>Năm 2022</t>
  </si>
  <si>
    <t>Năm 2023</t>
  </si>
  <si>
    <t>Năm 2024</t>
  </si>
  <si>
    <t>Thu BHYT</t>
  </si>
  <si>
    <t>Tiền đóng theo quy định</t>
  </si>
  <si>
    <t>Tiền lãi phạt chậm đóng BHYT</t>
  </si>
  <si>
    <t>Thực hiện 2020</t>
  </si>
  <si>
    <t>Thực hiện 2019</t>
  </si>
  <si>
    <t>Năm 2020</t>
  </si>
  <si>
    <t>Năm 2019</t>
  </si>
  <si>
    <t>Bệnh viện đa khoa Bình Định</t>
  </si>
  <si>
    <t>8 tháng đầu năm 2021</t>
  </si>
  <si>
    <t>52001</t>
  </si>
  <si>
    <t>52002</t>
  </si>
  <si>
    <t>52006</t>
  </si>
  <si>
    <t>52007</t>
  </si>
  <si>
    <t>52009</t>
  </si>
  <si>
    <t>52015</t>
  </si>
  <si>
    <t>Trung tâm y tế thị xã Hoài Nhơn</t>
  </si>
  <si>
    <t>52014</t>
  </si>
  <si>
    <t>52013</t>
  </si>
  <si>
    <t>52185</t>
  </si>
  <si>
    <t>52012</t>
  </si>
  <si>
    <t>52011</t>
  </si>
  <si>
    <t>52008</t>
  </si>
  <si>
    <t>52017</t>
  </si>
  <si>
    <t>52004</t>
  </si>
  <si>
    <t>52016</t>
  </si>
  <si>
    <t>52184</t>
  </si>
  <si>
    <t>52020</t>
  </si>
  <si>
    <t>52005</t>
  </si>
  <si>
    <t>52021</t>
  </si>
  <si>
    <t>Bệnh viện Phong - Da liễu trung ương Quy Hòa</t>
  </si>
  <si>
    <t>52010</t>
  </si>
  <si>
    <t>Bệnh viện đa khoa Hòa Bình</t>
  </si>
  <si>
    <t>52019</t>
  </si>
  <si>
    <t>52024</t>
  </si>
  <si>
    <t>Phòng khám đa khoa 38 Lê Lợi</t>
  </si>
  <si>
    <t>52187</t>
  </si>
  <si>
    <t>Phòng khám đa khoa Hương Sơn</t>
  </si>
  <si>
    <t>52186</t>
  </si>
  <si>
    <t>Phòng khám đa khoa Thành Long</t>
  </si>
  <si>
    <t>52196</t>
  </si>
  <si>
    <t>52200</t>
  </si>
  <si>
    <t>52199</t>
  </si>
  <si>
    <t>Phòng khám đa khoa Phạm Ngọc Thạch</t>
  </si>
  <si>
    <t>52201</t>
  </si>
  <si>
    <t>52202</t>
  </si>
  <si>
    <t>52204</t>
  </si>
  <si>
    <t>52206</t>
  </si>
  <si>
    <t xml:space="preserve">Cộng </t>
  </si>
  <si>
    <t>BẢO HIỂM XÃ HỘI TỈNH BÌNH ĐỊNH</t>
  </si>
  <si>
    <t>Tên cơ sở</t>
  </si>
  <si>
    <t>Mã cơ sở</t>
  </si>
  <si>
    <t>C</t>
  </si>
  <si>
    <t>NGƯỜI LẬP BẢN                                                                                              TRƯỞNG PHÒNG GIÁM ĐỊNH BHYT                                                                                                                                                                                          GIÁM ĐỐC</t>
  </si>
  <si>
    <t>Số tiền</t>
  </si>
  <si>
    <t>Tổng mức thanh toán + Chi ngoài tổng mức</t>
  </si>
  <si>
    <t>52208</t>
  </si>
  <si>
    <t>52205</t>
  </si>
  <si>
    <t>52207</t>
  </si>
  <si>
    <t>Cộng</t>
  </si>
  <si>
    <t>Gia tăng</t>
  </si>
  <si>
    <t>Điều trị nội trú trái tuyến tuyến tỉnh 8 tháng</t>
  </si>
  <si>
    <t>Dự kiến điều trị nội trú trái tuyến tuyến tỉnh 4 tháng còn lại</t>
  </si>
  <si>
    <t>8=(7)/60%*40%</t>
  </si>
  <si>
    <t>Gia tăng lượt và chi phí do thẻ năm 2022 tăng so với năm 2021 (0,95%)</t>
  </si>
  <si>
    <t>Gia tăng lượt và chi phí năm 2022 so với năm 2021 do khống chế được dịch bệnh Covid 19</t>
  </si>
  <si>
    <t>5=1+3</t>
  </si>
  <si>
    <t>6=2+4</t>
  </si>
  <si>
    <t>11=7+9</t>
  </si>
  <si>
    <t>12=8+10</t>
  </si>
  <si>
    <t>13=1+7</t>
  </si>
  <si>
    <t>14=2+8</t>
  </si>
  <si>
    <t>15=3+9</t>
  </si>
  <si>
    <t>16=4+10</t>
  </si>
  <si>
    <t>17=13+15</t>
  </si>
  <si>
    <t>18=14+16</t>
  </si>
  <si>
    <t>Bệnh viện Phong - Da liễu TƯ Quy Hòa</t>
  </si>
  <si>
    <t>Trung tâm Kiểm soát bệnh tật tỉnh BĐ</t>
  </si>
  <si>
    <t>QUỸ ĐỊNH SUẤT NĂM 2021</t>
  </si>
  <si>
    <t>QUỸ ĐỊNH SUẤT NĂM 2022</t>
  </si>
  <si>
    <t>2=1*1,0095</t>
  </si>
  <si>
    <t>Tổng số được quyết toán</t>
  </si>
  <si>
    <t>Dự kiến năm 2022 (Tình hình dịch bệnh được khống chế số lượt nội trú, ngoại trú tương đương số lượt năm 2019)</t>
  </si>
  <si>
    <t>1=3+5</t>
  </si>
  <si>
    <t>6=8+10</t>
  </si>
  <si>
    <t>11=13+16</t>
  </si>
  <si>
    <t>14=13/12</t>
  </si>
  <si>
    <t>17=16/15</t>
  </si>
  <si>
    <t>Dự kiến chi phí được quyết toán năm 2021</t>
  </si>
  <si>
    <t>Bổ sung DVKT mới</t>
  </si>
  <si>
    <t xml:space="preserve">Điều trị nội trú trái tuyến tuyến tỉnh </t>
  </si>
  <si>
    <t>11=9+10</t>
  </si>
  <si>
    <t>12=8+9</t>
  </si>
  <si>
    <t>13=10</t>
  </si>
  <si>
    <t>14=12+13</t>
  </si>
  <si>
    <t>BHXH TỈNH, THÀNH PHỐ BÌNH ĐỊNH</t>
  </si>
  <si>
    <t>(Ban hành kèm theo Công văn số      /BHXH-KHĐT ngày      tháng      năm 2021 của BHXH Việt Nam)</t>
  </si>
  <si>
    <t>TT</t>
  </si>
  <si>
    <t>Chỉ tiêu</t>
  </si>
  <si>
    <t>Thực hiện năm 2020</t>
  </si>
  <si>
    <t xml:space="preserve">Ước thực hiện năm hiện hành
</t>
  </si>
  <si>
    <t xml:space="preserve"> Dự kiến năm 2022</t>
  </si>
  <si>
    <t>Dự kiến năm
KH</t>
  </si>
  <si>
    <t>Năm KH so với 
 ƯTH năm HH</t>
  </si>
  <si>
    <t>Tăng, giảm</t>
  </si>
  <si>
    <t>Tỷ lệ %</t>
  </si>
  <si>
    <t>4=3-2</t>
  </si>
  <si>
    <t>5=3:2</t>
  </si>
  <si>
    <t>I</t>
  </si>
  <si>
    <t>Số người tham gia BHYT</t>
  </si>
  <si>
    <t>II</t>
  </si>
  <si>
    <t>Số thu BHYT</t>
  </si>
  <si>
    <t>Quỹ KCB BHYT (90%số thu)</t>
  </si>
  <si>
    <t>IV=1….+3</t>
  </si>
  <si>
    <t>Tổng dự toán tại tỉnh</t>
  </si>
  <si>
    <t>Chi CSSK ban đầu</t>
  </si>
  <si>
    <t>1.1</t>
  </si>
  <si>
    <t>HSSV</t>
  </si>
  <si>
    <t>1.2</t>
  </si>
  <si>
    <t>Trẻ em dưới 6 tuổi</t>
  </si>
  <si>
    <t>1.3</t>
  </si>
  <si>
    <t>Y tế cơ quan</t>
  </si>
  <si>
    <t>Chi thanh toán trực tiếp</t>
  </si>
  <si>
    <t>Chi KCB phát sinh tại cơ sở y tế</t>
  </si>
  <si>
    <t>3.1</t>
  </si>
  <si>
    <t>Chi KCB thanh toán theo phí dịch vụ</t>
  </si>
  <si>
    <t>3.2</t>
  </si>
  <si>
    <t>Chi KCB thanh toán theo định suất</t>
  </si>
  <si>
    <t>V</t>
  </si>
  <si>
    <t>Dự toán/Số kiểm tra</t>
  </si>
  <si>
    <t>VI</t>
  </si>
  <si>
    <t>Vượt dự toán (-)/Thừa dự toán (+)</t>
  </si>
  <si>
    <t>Tỷ lệ vượt/thừa</t>
  </si>
  <si>
    <t xml:space="preserve"> DỰ TOÁN CHI KHÁM BỆNH, CHỮA BỆNH BHYT NĂM 2022 </t>
  </si>
  <si>
    <t xml:space="preserve">Số lượt </t>
  </si>
  <si>
    <t>04 tháng cuối năm 2021 (Trên cơ sở lấy số lượt 4 tháng cuối năm 2020 nhân chi phí b/q lượt 8 của tháng đầu năm 2021)</t>
  </si>
  <si>
    <t>BÁO CÁO ĐÁNH GIÁ TÌNH HÌNH THỰC HIỆN CHI KHÁM, CHỮA BỆNH BHYT 8 THÁNG NĂM 2021 VÀ ƯỚC THỰC HIỆN CẢ NĂM 2021</t>
  </si>
  <si>
    <t>CÁC YẾU TỐ TÁC ĐỘNG ĐẾN CHI KHÁM, CHỮA BỆNH BHYT NĂM 2021</t>
  </si>
  <si>
    <t>SUẤT PHÍ, QUỸ ĐỊNH SUẤT  NĂM 2021, DỰ KIẾN QUỸ ĐỊNH SUẤT NĂM 2022</t>
  </si>
  <si>
    <t>Dự kiến Tổng mức thanh toán năm 2022</t>
  </si>
  <si>
    <t>Ước Tổng mức thanh toán năm 2021</t>
  </si>
  <si>
    <t>Chi phí b/q lượt (đồng)</t>
  </si>
  <si>
    <t>1=3+6</t>
  </si>
  <si>
    <t>4=3/2</t>
  </si>
  <si>
    <t>7=6/5</t>
  </si>
  <si>
    <t>8=10+13</t>
  </si>
  <si>
    <t>11=10/9</t>
  </si>
  <si>
    <t xml:space="preserve"> CHI PHÍ TĂNG, GIẢM TRONG NĂM 2022 SO VỚI NĂM 2021</t>
  </si>
  <si>
    <t xml:space="preserve">BẢNG XÁC ĐỊNH TỔNG MỨC THANH TOÁN 3 NĂM 2019, 2020, 2021  
</t>
  </si>
  <si>
    <t>Năm 2021</t>
  </si>
  <si>
    <t>Dự kiến năm 2022</t>
  </si>
  <si>
    <t>Đơn vị tính: Lượt</t>
  </si>
  <si>
    <t>3=1+2</t>
  </si>
  <si>
    <t>8=4+6</t>
  </si>
  <si>
    <t>14=10+12</t>
  </si>
  <si>
    <t>20=16+18</t>
  </si>
  <si>
    <t>SO SÁNH SỐ LƯỢT KHÁM CHỮA BỆNH BHYT 03 NĂM 2019, 2020, 2021 VÀ DỰ KIẾN NĂM 2022</t>
  </si>
  <si>
    <t xml:space="preserve">BẢNG DỰ KIẾN XÁC ĐỊNH TỔNG MỨC THANH TOÁN NĂM 2022
</t>
  </si>
  <si>
    <t>Tăng, giảm so 2019 (%)</t>
  </si>
  <si>
    <t>5=(4-1)/1</t>
  </si>
  <si>
    <t>7=(6-2)/2</t>
  </si>
  <si>
    <t>9=(8-3/3</t>
  </si>
  <si>
    <t>Tăng, giảm so 2020 (%)</t>
  </si>
  <si>
    <t>11=(10-4)/4</t>
  </si>
  <si>
    <t>13=(12-6)/6</t>
  </si>
  <si>
    <t>15=(14-8)/8</t>
  </si>
  <si>
    <t>Tăng, giảm so 2021 (%)</t>
  </si>
  <si>
    <t>17=(16-10)/10</t>
  </si>
  <si>
    <t>19=(18-12)/12</t>
  </si>
  <si>
    <t>21=(20-14)/14</t>
  </si>
  <si>
    <t>DỰ KIẾN THỰC HIỆN CHI KHÁM, CHỮA BỆNH BHYT NĂM 2022</t>
  </si>
  <si>
    <t>Tổng mứcthanh toán</t>
  </si>
  <si>
    <t>Chi phí dự kiến được quyết toán</t>
  </si>
  <si>
    <t>Chi phí vượt Tổng mức</t>
  </si>
  <si>
    <t>8=6-7</t>
  </si>
  <si>
    <t>9=6-8</t>
  </si>
  <si>
    <t>15=11+13</t>
  </si>
  <si>
    <t>Người lập biểu             TP. Giám định BHYT</t>
  </si>
  <si>
    <t>TP. Kế hoạch - Tài chính          Thủ trưởng đơn vị</t>
  </si>
  <si>
    <t>(Ký, họ tên)                   (Ký, họ tên)</t>
  </si>
  <si>
    <t>Bình Định, ngày 02 tháng 10 năm 2021</t>
  </si>
  <si>
    <t xml:space="preserve">              (Ký, họ tên)                           (Ký, họ tên)</t>
  </si>
  <si>
    <t>Gia tăng chi phí do bổ sung DVKT mới</t>
  </si>
  <si>
    <t>Dự toán chi KCB năm 2022</t>
  </si>
  <si>
    <t>SO SÁNH SỐ LƯỢT KHÁM CHỮA BỆNH BHYT GIỮA NĂM 2019 VÀ DỰ KIẾN NĂM 2022</t>
  </si>
  <si>
    <t>9=(8-3)/3</t>
  </si>
  <si>
    <t>Nội + Ngoại trú</t>
  </si>
  <si>
    <t>Phụ lục 01 (Mẫu biểu số 05b)</t>
  </si>
  <si>
    <t>Phụ lục 02</t>
  </si>
  <si>
    <t>Phụ lục 03</t>
  </si>
  <si>
    <t>Phụ lục 05</t>
  </si>
  <si>
    <t>Phụ lục 04a</t>
  </si>
  <si>
    <t>Phụ lục 04b</t>
  </si>
  <si>
    <t>Phụ lục 06</t>
  </si>
  <si>
    <t>Phụ lục 07</t>
  </si>
  <si>
    <t>Phụ lục 08</t>
  </si>
  <si>
    <t>Phụ lục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</si>
</sst>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_-* #,##0\ _₫_-;\-* #,##0\ _₫_-;_-* &quot;-&quot;??\ _₫_-;_-@_-"/>
    <numFmt numFmtId="167" formatCode="0.0000"/>
    <numFmt numFmtId="168" formatCode="#,###"/>
    <numFmt numFmtId="169" formatCode="#,##0.000"/>
    <numFmt numFmtId="170" formatCode="0.0%"/>
  </numFmts>
  <fonts count="57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rgb="FF000000"/>
      <name val="Calibri"/>
      <family val="2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i/>
      <sz val="11"/>
      <color theme="1"/>
      <name val="Times New Roman"/>
      <family val="1"/>
      <charset val="163"/>
    </font>
    <font>
      <sz val="10"/>
      <name val="Times New Roman"/>
      <family val="1"/>
      <charset val="163"/>
    </font>
    <font>
      <sz val="12"/>
      <color theme="1"/>
      <name val="Times New Roman"/>
      <family val="2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0"/>
      <name val="Times New Roman"/>
      <family val="1"/>
    </font>
    <font>
      <i/>
      <sz val="12"/>
      <color theme="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sz val="10"/>
      <name val="Arial"/>
      <family val="2"/>
      <charset val="163"/>
    </font>
    <font>
      <sz val="8"/>
      <color indexed="8"/>
      <name val="Times New Roman"/>
      <family val="1"/>
      <charset val="163"/>
    </font>
    <font>
      <b/>
      <sz val="9"/>
      <color indexed="8"/>
      <name val="Times New Roman"/>
      <family val="1"/>
      <charset val="163"/>
    </font>
    <font>
      <sz val="9"/>
      <color indexed="8"/>
      <name val="SansSerif"/>
    </font>
    <font>
      <b/>
      <sz val="7"/>
      <color indexed="8"/>
      <name val="Times New Roman"/>
      <family val="1"/>
      <charset val="163"/>
    </font>
    <font>
      <sz val="9"/>
      <color indexed="8"/>
      <name val="Times New Roman"/>
      <family val="1"/>
      <charset val="163"/>
    </font>
    <font>
      <sz val="7"/>
      <color indexed="8"/>
      <name val="Times New Roman"/>
      <family val="1"/>
      <charset val="163"/>
    </font>
    <font>
      <b/>
      <sz val="9"/>
      <color indexed="8"/>
      <name val="Calibri Light"/>
      <family val="1"/>
      <charset val="163"/>
      <scheme val="major"/>
    </font>
    <font>
      <b/>
      <sz val="10"/>
      <name val="Calibri Light"/>
      <family val="1"/>
      <charset val="163"/>
      <scheme val="major"/>
    </font>
    <font>
      <b/>
      <sz val="9"/>
      <color indexed="8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indexed="8"/>
      <name val="Times New Roman"/>
      <family val="1"/>
    </font>
    <font>
      <i/>
      <sz val="10"/>
      <name val="Times New Roman"/>
      <family val="1"/>
    </font>
    <font>
      <b/>
      <i/>
      <sz val="9"/>
      <color indexed="8"/>
      <name val="Times New Roman"/>
      <family val="1"/>
    </font>
    <font>
      <b/>
      <sz val="11"/>
      <name val="Times New Roman"/>
      <family val="1"/>
    </font>
    <font>
      <i/>
      <sz val="13"/>
      <name val="Times New Roman"/>
      <family val="1"/>
    </font>
    <font>
      <sz val="12"/>
      <color theme="1"/>
      <name val="Calibri"/>
      <family val="2"/>
      <charset val="163"/>
      <scheme val="minor"/>
    </font>
    <font>
      <i/>
      <sz val="12"/>
      <name val="Times New Roman"/>
      <family val="1"/>
      <charset val="163"/>
    </font>
    <font>
      <i/>
      <sz val="12"/>
      <color rgb="FFFF0000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b/>
      <i/>
      <sz val="12"/>
      <name val="Times New Roman"/>
      <family val="1"/>
    </font>
    <font>
      <b/>
      <sz val="12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0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16" fillId="0" borderId="0"/>
    <xf numFmtId="43" fontId="16" fillId="0" borderId="0" applyFont="0" applyFill="0" applyBorder="0" applyAlignment="0" applyProtection="0"/>
    <xf numFmtId="0" fontId="29" fillId="0" borderId="0"/>
  </cellStyleXfs>
  <cellXfs count="290">
    <xf numFmtId="0" fontId="0" fillId="0" borderId="0" xfId="0"/>
    <xf numFmtId="0" fontId="9" fillId="0" borderId="0" xfId="0" applyFont="1"/>
    <xf numFmtId="0" fontId="8" fillId="0" borderId="0" xfId="0" applyFont="1"/>
    <xf numFmtId="0" fontId="10" fillId="0" borderId="8" xfId="0" applyFont="1" applyBorder="1" applyAlignment="1"/>
    <xf numFmtId="0" fontId="4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9" fillId="0" borderId="1" xfId="0" applyFont="1" applyBorder="1"/>
    <xf numFmtId="0" fontId="4" fillId="0" borderId="1" xfId="3" applyFont="1" applyBorder="1"/>
    <xf numFmtId="3" fontId="4" fillId="0" borderId="1" xfId="1" applyNumberFormat="1" applyFont="1" applyBorder="1"/>
    <xf numFmtId="3" fontId="11" fillId="0" borderId="1" xfId="1" applyNumberFormat="1" applyFont="1" applyBorder="1"/>
    <xf numFmtId="0" fontId="9" fillId="0" borderId="4" xfId="0" applyFont="1" applyBorder="1"/>
    <xf numFmtId="0" fontId="4" fillId="0" borderId="3" xfId="3" applyFont="1" applyBorder="1"/>
    <xf numFmtId="0" fontId="12" fillId="0" borderId="1" xfId="0" applyFont="1" applyBorder="1"/>
    <xf numFmtId="0" fontId="13" fillId="0" borderId="1" xfId="0" applyFont="1" applyBorder="1"/>
    <xf numFmtId="0" fontId="4" fillId="0" borderId="1" xfId="0" applyFont="1" applyBorder="1"/>
    <xf numFmtId="0" fontId="12" fillId="0" borderId="0" xfId="0" applyFont="1"/>
    <xf numFmtId="3" fontId="11" fillId="0" borderId="1" xfId="3" applyNumberFormat="1" applyFont="1" applyBorder="1"/>
    <xf numFmtId="3" fontId="15" fillId="0" borderId="1" xfId="1" applyNumberFormat="1" applyFont="1" applyBorder="1"/>
    <xf numFmtId="0" fontId="17" fillId="0" borderId="0" xfId="4" applyFont="1"/>
    <xf numFmtId="165" fontId="1" fillId="2" borderId="0" xfId="5" applyNumberFormat="1" applyFont="1" applyFill="1" applyAlignment="1">
      <alignment vertical="center"/>
    </xf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65" fontId="18" fillId="0" borderId="0" xfId="5" applyNumberFormat="1" applyFont="1" applyFill="1" applyAlignment="1"/>
    <xf numFmtId="165" fontId="19" fillId="0" borderId="0" xfId="5" applyNumberFormat="1" applyFont="1" applyAlignment="1">
      <alignment horizontal="right"/>
    </xf>
    <xf numFmtId="0" fontId="20" fillId="2" borderId="0" xfId="4" applyFont="1" applyFill="1" applyAlignment="1">
      <alignment vertical="center"/>
    </xf>
    <xf numFmtId="166" fontId="21" fillId="2" borderId="0" xfId="4" applyNumberFormat="1" applyFont="1" applyFill="1" applyAlignment="1">
      <alignment vertical="center"/>
    </xf>
    <xf numFmtId="0" fontId="9" fillId="0" borderId="0" xfId="4" applyFont="1" applyAlignment="1">
      <alignment vertical="center"/>
    </xf>
    <xf numFmtId="0" fontId="22" fillId="2" borderId="0" xfId="4" applyFont="1" applyFill="1" applyAlignment="1">
      <alignment vertical="center"/>
    </xf>
    <xf numFmtId="165" fontId="11" fillId="0" borderId="1" xfId="5" applyNumberFormat="1" applyFont="1" applyFill="1" applyBorder="1" applyAlignment="1">
      <alignment horizontal="center" vertical="center" wrapText="1"/>
    </xf>
    <xf numFmtId="165" fontId="23" fillId="2" borderId="1" xfId="5" applyNumberFormat="1" applyFont="1" applyFill="1" applyBorder="1" applyAlignment="1">
      <alignment horizontal="center" vertical="center"/>
    </xf>
    <xf numFmtId="165" fontId="23" fillId="2" borderId="1" xfId="5" applyNumberFormat="1" applyFont="1" applyFill="1" applyBorder="1" applyAlignment="1">
      <alignment horizontal="left" vertical="center"/>
    </xf>
    <xf numFmtId="3" fontId="23" fillId="2" borderId="1" xfId="5" applyNumberFormat="1" applyFont="1" applyFill="1" applyBorder="1" applyAlignment="1">
      <alignment vertical="center"/>
    </xf>
    <xf numFmtId="3" fontId="23" fillId="0" borderId="1" xfId="5" applyNumberFormat="1" applyFont="1" applyFill="1" applyBorder="1" applyAlignment="1">
      <alignment vertical="center"/>
    </xf>
    <xf numFmtId="0" fontId="19" fillId="2" borderId="0" xfId="4" applyFont="1" applyFill="1" applyAlignment="1">
      <alignment vertical="center"/>
    </xf>
    <xf numFmtId="165" fontId="26" fillId="2" borderId="1" xfId="5" applyNumberFormat="1" applyFont="1" applyFill="1" applyBorder="1" applyAlignment="1">
      <alignment horizontal="center" vertical="center"/>
    </xf>
    <xf numFmtId="165" fontId="26" fillId="2" borderId="1" xfId="5" applyNumberFormat="1" applyFont="1" applyFill="1" applyBorder="1" applyAlignment="1">
      <alignment horizontal="left" vertical="center"/>
    </xf>
    <xf numFmtId="3" fontId="26" fillId="2" borderId="1" xfId="5" applyNumberFormat="1" applyFont="1" applyFill="1" applyBorder="1" applyAlignment="1">
      <alignment vertical="center"/>
    </xf>
    <xf numFmtId="3" fontId="26" fillId="0" borderId="1" xfId="5" applyNumberFormat="1" applyFont="1" applyFill="1" applyBorder="1" applyAlignment="1">
      <alignment vertical="center"/>
    </xf>
    <xf numFmtId="3" fontId="26" fillId="2" borderId="1" xfId="4" applyNumberFormat="1" applyFont="1" applyFill="1" applyBorder="1" applyAlignment="1">
      <alignment vertical="center"/>
    </xf>
    <xf numFmtId="3" fontId="26" fillId="0" borderId="1" xfId="4" applyNumberFormat="1" applyFont="1" applyBorder="1" applyAlignment="1">
      <alignment vertical="center"/>
    </xf>
    <xf numFmtId="0" fontId="8" fillId="2" borderId="0" xfId="4" applyFont="1" applyFill="1" applyAlignment="1">
      <alignment vertical="center"/>
    </xf>
    <xf numFmtId="0" fontId="20" fillId="0" borderId="0" xfId="4" applyFont="1" applyAlignment="1">
      <alignment vertical="center"/>
    </xf>
    <xf numFmtId="0" fontId="20" fillId="2" borderId="0" xfId="4" applyFont="1" applyFill="1" applyAlignment="1">
      <alignment horizontal="center" vertical="center"/>
    </xf>
    <xf numFmtId="3" fontId="4" fillId="0" borderId="1" xfId="2" applyNumberFormat="1" applyFont="1" applyBorder="1"/>
    <xf numFmtId="3" fontId="9" fillId="0" borderId="0" xfId="0" applyNumberFormat="1" applyFont="1"/>
    <xf numFmtId="165" fontId="3" fillId="2" borderId="0" xfId="5" applyNumberFormat="1" applyFont="1" applyFill="1" applyAlignment="1">
      <alignment horizontal="left" vertical="center"/>
    </xf>
    <xf numFmtId="10" fontId="20" fillId="2" borderId="0" xfId="2" applyNumberFormat="1" applyFont="1" applyFill="1" applyAlignment="1">
      <alignment vertical="center"/>
    </xf>
    <xf numFmtId="3" fontId="27" fillId="0" borderId="0" xfId="0" applyNumberFormat="1" applyFont="1"/>
    <xf numFmtId="0" fontId="28" fillId="0" borderId="0" xfId="0" applyFont="1"/>
    <xf numFmtId="167" fontId="20" fillId="2" borderId="0" xfId="4" applyNumberFormat="1" applyFont="1" applyFill="1" applyAlignment="1">
      <alignment vertical="center"/>
    </xf>
    <xf numFmtId="0" fontId="8" fillId="0" borderId="3" xfId="0" applyFont="1" applyBorder="1" applyAlignment="1">
      <alignment horizontal="center"/>
    </xf>
    <xf numFmtId="0" fontId="30" fillId="3" borderId="14" xfId="6" applyFont="1" applyFill="1" applyBorder="1" applyAlignment="1">
      <alignment horizontal="center" vertical="center" wrapText="1"/>
    </xf>
    <xf numFmtId="0" fontId="30" fillId="3" borderId="14" xfId="6" applyFont="1" applyFill="1" applyBorder="1" applyAlignment="1">
      <alignment horizontal="left" vertical="center" wrapText="1"/>
    </xf>
    <xf numFmtId="168" fontId="30" fillId="3" borderId="14" xfId="6" applyNumberFormat="1" applyFont="1" applyFill="1" applyBorder="1" applyAlignment="1">
      <alignment horizontal="right" vertical="center" wrapText="1"/>
    </xf>
    <xf numFmtId="0" fontId="31" fillId="3" borderId="14" xfId="6" applyFont="1" applyFill="1" applyBorder="1" applyAlignment="1">
      <alignment horizontal="left" vertical="center" wrapText="1"/>
    </xf>
    <xf numFmtId="0" fontId="32" fillId="3" borderId="14" xfId="6" applyFont="1" applyFill="1" applyBorder="1" applyAlignment="1">
      <alignment horizontal="left" vertical="top" wrapText="1"/>
    </xf>
    <xf numFmtId="168" fontId="33" fillId="3" borderId="14" xfId="6" applyNumberFormat="1" applyFont="1" applyFill="1" applyBorder="1" applyAlignment="1">
      <alignment horizontal="right" vertical="center" wrapText="1"/>
    </xf>
    <xf numFmtId="0" fontId="34" fillId="3" borderId="0" xfId="6" applyFont="1" applyFill="1" applyAlignment="1">
      <alignment horizontal="left" vertical="center" wrapText="1"/>
    </xf>
    <xf numFmtId="0" fontId="32" fillId="3" borderId="0" xfId="6" applyFont="1" applyFill="1" applyAlignment="1">
      <alignment horizontal="left" vertical="top" wrapText="1"/>
    </xf>
    <xf numFmtId="0" fontId="29" fillId="0" borderId="0" xfId="6"/>
    <xf numFmtId="0" fontId="31" fillId="3" borderId="0" xfId="6" applyFont="1" applyFill="1" applyAlignment="1">
      <alignment horizontal="left" vertical="center" wrapText="1"/>
    </xf>
    <xf numFmtId="0" fontId="35" fillId="3" borderId="14" xfId="6" applyFont="1" applyFill="1" applyBorder="1" applyAlignment="1">
      <alignment horizontal="center" vertical="center" wrapText="1"/>
    </xf>
    <xf numFmtId="0" fontId="36" fillId="3" borderId="0" xfId="6" applyFont="1" applyFill="1" applyAlignment="1">
      <alignment horizontal="left" vertical="top" wrapText="1"/>
    </xf>
    <xf numFmtId="168" fontId="36" fillId="3" borderId="0" xfId="6" applyNumberFormat="1" applyFont="1" applyFill="1" applyAlignment="1">
      <alignment horizontal="left" vertical="top" wrapText="1"/>
    </xf>
    <xf numFmtId="0" fontId="37" fillId="0" borderId="0" xfId="6" applyFont="1"/>
    <xf numFmtId="0" fontId="31" fillId="3" borderId="14" xfId="6" applyNumberFormat="1" applyFont="1" applyFill="1" applyBorder="1" applyAlignment="1">
      <alignment horizontal="center" vertical="center" wrapText="1"/>
    </xf>
    <xf numFmtId="168" fontId="29" fillId="0" borderId="0" xfId="6" applyNumberFormat="1"/>
    <xf numFmtId="0" fontId="36" fillId="3" borderId="0" xfId="6" applyFont="1" applyFill="1" applyAlignment="1">
      <alignment horizontal="center" vertical="top" wrapText="1"/>
    </xf>
    <xf numFmtId="49" fontId="4" fillId="0" borderId="1" xfId="3" applyNumberFormat="1" applyFont="1" applyBorder="1"/>
    <xf numFmtId="49" fontId="4" fillId="0" borderId="3" xfId="3" applyNumberFormat="1" applyFont="1" applyBorder="1"/>
    <xf numFmtId="49" fontId="4" fillId="0" borderId="1" xfId="0" applyNumberFormat="1" applyFont="1" applyBorder="1"/>
    <xf numFmtId="0" fontId="31" fillId="3" borderId="14" xfId="6" applyNumberFormat="1" applyFont="1" applyFill="1" applyBorder="1" applyAlignment="1">
      <alignment horizontal="center" vertical="center" wrapText="1"/>
    </xf>
    <xf numFmtId="0" fontId="34" fillId="3" borderId="0" xfId="6" applyFont="1" applyFill="1" applyAlignment="1">
      <alignment horizontal="left" vertical="center" wrapText="1"/>
    </xf>
    <xf numFmtId="0" fontId="31" fillId="3" borderId="0" xfId="6" applyFont="1" applyFill="1" applyAlignment="1">
      <alignment horizontal="left" vertical="center" wrapText="1"/>
    </xf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31" fillId="3" borderId="14" xfId="6" applyNumberFormat="1" applyFont="1" applyFill="1" applyBorder="1" applyAlignment="1">
      <alignment horizontal="center" vertical="center" wrapText="1"/>
    </xf>
    <xf numFmtId="10" fontId="20" fillId="2" borderId="0" xfId="4" applyNumberFormat="1" applyFont="1" applyFill="1" applyAlignment="1">
      <alignment vertical="center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right" vertical="center"/>
    </xf>
    <xf numFmtId="0" fontId="41" fillId="0" borderId="1" xfId="0" applyFont="1" applyBorder="1" applyAlignment="1">
      <alignment vertical="center"/>
    </xf>
    <xf numFmtId="3" fontId="41" fillId="0" borderId="1" xfId="0" applyNumberFormat="1" applyFont="1" applyBorder="1" applyAlignment="1">
      <alignment horizontal="right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3" fontId="39" fillId="0" borderId="1" xfId="0" applyNumberFormat="1" applyFont="1" applyBorder="1" applyAlignment="1">
      <alignment horizontal="right" vertical="center"/>
    </xf>
    <xf numFmtId="0" fontId="31" fillId="3" borderId="0" xfId="6" applyFont="1" applyFill="1" applyAlignment="1">
      <alignment horizontal="left" vertical="center" wrapText="1"/>
    </xf>
    <xf numFmtId="0" fontId="31" fillId="3" borderId="14" xfId="6" applyNumberFormat="1" applyFont="1" applyFill="1" applyBorder="1" applyAlignment="1">
      <alignment horizontal="center" vertical="center" wrapText="1"/>
    </xf>
    <xf numFmtId="0" fontId="31" fillId="3" borderId="22" xfId="6" applyNumberFormat="1" applyFont="1" applyFill="1" applyBorder="1" applyAlignment="1">
      <alignment horizontal="center" vertical="center" wrapText="1"/>
    </xf>
    <xf numFmtId="0" fontId="31" fillId="3" borderId="14" xfId="6" applyFont="1" applyFill="1" applyBorder="1" applyAlignment="1">
      <alignment horizontal="center" vertical="center" wrapText="1"/>
    </xf>
    <xf numFmtId="0" fontId="38" fillId="3" borderId="15" xfId="6" applyFont="1" applyFill="1" applyBorder="1" applyAlignment="1">
      <alignment horizontal="center" vertical="top" wrapText="1"/>
    </xf>
    <xf numFmtId="168" fontId="30" fillId="3" borderId="0" xfId="6" applyNumberFormat="1" applyFont="1" applyFill="1" applyBorder="1" applyAlignment="1">
      <alignment horizontal="right" vertical="center" wrapText="1"/>
    </xf>
    <xf numFmtId="0" fontId="35" fillId="3" borderId="24" xfId="6" applyFont="1" applyFill="1" applyBorder="1" applyAlignment="1">
      <alignment horizontal="center" vertical="center" wrapText="1"/>
    </xf>
    <xf numFmtId="168" fontId="30" fillId="3" borderId="24" xfId="6" applyNumberFormat="1" applyFont="1" applyFill="1" applyBorder="1" applyAlignment="1">
      <alignment horizontal="right" vertical="center" wrapText="1"/>
    </xf>
    <xf numFmtId="0" fontId="35" fillId="3" borderId="30" xfId="6" applyFont="1" applyFill="1" applyBorder="1" applyAlignment="1">
      <alignment horizontal="center" vertical="center" wrapText="1"/>
    </xf>
    <xf numFmtId="168" fontId="30" fillId="3" borderId="30" xfId="6" applyNumberFormat="1" applyFont="1" applyFill="1" applyBorder="1" applyAlignment="1">
      <alignment horizontal="right" vertical="center" wrapText="1"/>
    </xf>
    <xf numFmtId="0" fontId="34" fillId="3" borderId="0" xfId="6" applyFont="1" applyFill="1" applyBorder="1" applyAlignment="1">
      <alignment horizontal="left" vertical="center" wrapText="1"/>
    </xf>
    <xf numFmtId="0" fontId="32" fillId="3" borderId="0" xfId="6" applyFont="1" applyFill="1" applyBorder="1" applyAlignment="1">
      <alignment horizontal="left" vertical="top" wrapText="1"/>
    </xf>
    <xf numFmtId="3" fontId="0" fillId="0" borderId="0" xfId="0" applyNumberFormat="1"/>
    <xf numFmtId="0" fontId="10" fillId="0" borderId="0" xfId="0" applyFont="1"/>
    <xf numFmtId="0" fontId="31" fillId="3" borderId="30" xfId="6" applyFont="1" applyFill="1" applyBorder="1" applyAlignment="1">
      <alignment vertical="center" wrapText="1"/>
    </xf>
    <xf numFmtId="0" fontId="45" fillId="0" borderId="0" xfId="0" applyFont="1"/>
    <xf numFmtId="0" fontId="45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7" xfId="0" applyFont="1" applyBorder="1" applyAlignment="1">
      <alignment horizontal="justify" vertical="justify"/>
    </xf>
    <xf numFmtId="3" fontId="3" fillId="0" borderId="37" xfId="0" applyNumberFormat="1" applyFont="1" applyBorder="1"/>
    <xf numFmtId="10" fontId="3" fillId="0" borderId="37" xfId="2" applyNumberFormat="1" applyFont="1" applyBorder="1"/>
    <xf numFmtId="0" fontId="3" fillId="0" borderId="38" xfId="0" applyFont="1" applyBorder="1" applyAlignment="1">
      <alignment horizontal="center"/>
    </xf>
    <xf numFmtId="0" fontId="3" fillId="0" borderId="38" xfId="0" applyFont="1" applyBorder="1" applyAlignment="1">
      <alignment horizontal="justify" vertical="justify"/>
    </xf>
    <xf numFmtId="3" fontId="3" fillId="0" borderId="38" xfId="0" applyNumberFormat="1" applyFont="1" applyBorder="1"/>
    <xf numFmtId="10" fontId="3" fillId="0" borderId="38" xfId="2" applyNumberFormat="1" applyFont="1" applyBorder="1"/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horizontal="justify" vertical="justify"/>
    </xf>
    <xf numFmtId="3" fontId="48" fillId="0" borderId="38" xfId="0" applyNumberFormat="1" applyFont="1" applyBorder="1"/>
    <xf numFmtId="0" fontId="2" fillId="0" borderId="38" xfId="0" applyFont="1" applyBorder="1" applyAlignment="1">
      <alignment horizontal="center"/>
    </xf>
    <xf numFmtId="3" fontId="49" fillId="0" borderId="38" xfId="0" applyNumberFormat="1" applyFont="1" applyBorder="1"/>
    <xf numFmtId="0" fontId="1" fillId="0" borderId="38" xfId="0" applyFont="1" applyBorder="1" applyAlignment="1">
      <alignment horizontal="center"/>
    </xf>
    <xf numFmtId="0" fontId="1" fillId="0" borderId="38" xfId="0" applyFont="1" applyBorder="1" applyAlignment="1">
      <alignment horizontal="justify" vertical="justify"/>
    </xf>
    <xf numFmtId="3" fontId="50" fillId="0" borderId="38" xfId="3" applyNumberFormat="1" applyFont="1" applyBorder="1" applyAlignment="1">
      <alignment horizontal="right" vertical="center" wrapText="1" shrinkToFit="1"/>
    </xf>
    <xf numFmtId="3" fontId="51" fillId="0" borderId="38" xfId="0" applyNumberFormat="1" applyFont="1" applyBorder="1"/>
    <xf numFmtId="0" fontId="52" fillId="0" borderId="0" xfId="0" applyFont="1"/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justify" vertical="justify"/>
    </xf>
    <xf numFmtId="3" fontId="49" fillId="0" borderId="39" xfId="0" applyNumberFormat="1" applyFont="1" applyBorder="1"/>
    <xf numFmtId="0" fontId="53" fillId="0" borderId="38" xfId="0" applyFont="1" applyBorder="1" applyAlignment="1">
      <alignment horizontal="center" vertical="center"/>
    </xf>
    <xf numFmtId="0" fontId="53" fillId="0" borderId="38" xfId="0" applyFont="1" applyBorder="1" applyAlignment="1">
      <alignment horizontal="justify" vertical="justify"/>
    </xf>
    <xf numFmtId="3" fontId="54" fillId="0" borderId="38" xfId="0" applyNumberFormat="1" applyFont="1" applyBorder="1"/>
    <xf numFmtId="0" fontId="53" fillId="0" borderId="0" xfId="0" applyFont="1"/>
    <xf numFmtId="0" fontId="53" fillId="0" borderId="39" xfId="0" applyFont="1" applyBorder="1" applyAlignment="1">
      <alignment horizontal="center" vertical="center"/>
    </xf>
    <xf numFmtId="0" fontId="53" fillId="0" borderId="39" xfId="0" applyFont="1" applyBorder="1" applyAlignment="1">
      <alignment horizontal="justify" vertical="justify"/>
    </xf>
    <xf numFmtId="3" fontId="54" fillId="0" borderId="39" xfId="0" applyNumberFormat="1" applyFont="1" applyBorder="1"/>
    <xf numFmtId="10" fontId="54" fillId="0" borderId="39" xfId="2" applyNumberFormat="1" applyFont="1" applyBorder="1"/>
    <xf numFmtId="0" fontId="4" fillId="0" borderId="0" xfId="0" applyFont="1"/>
    <xf numFmtId="3" fontId="1" fillId="0" borderId="0" xfId="0" applyNumberFormat="1" applyFont="1"/>
    <xf numFmtId="0" fontId="2" fillId="0" borderId="0" xfId="0" applyFont="1"/>
    <xf numFmtId="10" fontId="48" fillId="0" borderId="38" xfId="2" applyNumberFormat="1" applyFont="1" applyBorder="1"/>
    <xf numFmtId="10" fontId="49" fillId="0" borderId="38" xfId="2" applyNumberFormat="1" applyFont="1" applyBorder="1"/>
    <xf numFmtId="10" fontId="50" fillId="0" borderId="38" xfId="2" applyNumberFormat="1" applyFont="1" applyBorder="1" applyAlignment="1">
      <alignment horizontal="right" vertical="center" wrapText="1" shrinkToFit="1"/>
    </xf>
    <xf numFmtId="10" fontId="51" fillId="0" borderId="38" xfId="2" applyNumberFormat="1" applyFont="1" applyBorder="1"/>
    <xf numFmtId="10" fontId="49" fillId="0" borderId="39" xfId="2" applyNumberFormat="1" applyFont="1" applyBorder="1"/>
    <xf numFmtId="10" fontId="54" fillId="0" borderId="38" xfId="2" applyNumberFormat="1" applyFont="1" applyBorder="1"/>
    <xf numFmtId="3" fontId="3" fillId="0" borderId="0" xfId="0" applyNumberFormat="1" applyFont="1"/>
    <xf numFmtId="9" fontId="29" fillId="0" borderId="0" xfId="2" applyFont="1"/>
    <xf numFmtId="0" fontId="31" fillId="3" borderId="0" xfId="6" applyFont="1" applyFill="1" applyAlignment="1">
      <alignment horizontal="left" vertical="center" wrapText="1"/>
    </xf>
    <xf numFmtId="0" fontId="31" fillId="3" borderId="14" xfId="6" applyFont="1" applyFill="1" applyBorder="1" applyAlignment="1">
      <alignment horizontal="center" vertical="center" wrapText="1"/>
    </xf>
    <xf numFmtId="0" fontId="31" fillId="3" borderId="22" xfId="6" applyNumberFormat="1" applyFont="1" applyFill="1" applyBorder="1" applyAlignment="1">
      <alignment horizontal="center" vertical="center" wrapText="1"/>
    </xf>
    <xf numFmtId="0" fontId="31" fillId="3" borderId="30" xfId="6" applyNumberFormat="1" applyFont="1" applyFill="1" applyBorder="1" applyAlignment="1">
      <alignment horizontal="center" vertical="center" wrapText="1"/>
    </xf>
    <xf numFmtId="0" fontId="36" fillId="3" borderId="0" xfId="6" applyFont="1" applyFill="1" applyAlignment="1">
      <alignment horizontal="center" vertical="top" wrapText="1"/>
    </xf>
    <xf numFmtId="0" fontId="31" fillId="3" borderId="14" xfId="6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3" fillId="0" borderId="15" xfId="6" applyFont="1" applyBorder="1" applyAlignment="1"/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168" fontId="0" fillId="0" borderId="0" xfId="0" applyNumberFormat="1"/>
    <xf numFmtId="3" fontId="0" fillId="0" borderId="0" xfId="2" applyNumberFormat="1" applyFont="1"/>
    <xf numFmtId="10" fontId="1" fillId="0" borderId="0" xfId="2" applyNumberFormat="1" applyFont="1"/>
    <xf numFmtId="10" fontId="52" fillId="0" borderId="0" xfId="2" applyNumberFormat="1" applyFont="1"/>
    <xf numFmtId="4" fontId="56" fillId="0" borderId="0" xfId="0" applyNumberFormat="1" applyFont="1"/>
    <xf numFmtId="0" fontId="56" fillId="0" borderId="0" xfId="0" applyFont="1"/>
    <xf numFmtId="169" fontId="0" fillId="0" borderId="0" xfId="0" applyNumberFormat="1"/>
    <xf numFmtId="170" fontId="4" fillId="0" borderId="1" xfId="2" applyNumberFormat="1" applyFont="1" applyBorder="1"/>
    <xf numFmtId="170" fontId="11" fillId="0" borderId="1" xfId="2" applyNumberFormat="1" applyFont="1" applyBorder="1"/>
    <xf numFmtId="10" fontId="11" fillId="0" borderId="1" xfId="2" applyNumberFormat="1" applyFont="1" applyBorder="1"/>
    <xf numFmtId="0" fontId="34" fillId="3" borderId="0" xfId="6" applyFont="1" applyFill="1" applyAlignment="1">
      <alignment vertical="center" wrapText="1"/>
    </xf>
    <xf numFmtId="0" fontId="31" fillId="3" borderId="0" xfId="6" applyFont="1" applyFill="1" applyAlignment="1">
      <alignment vertical="center" wrapText="1"/>
    </xf>
    <xf numFmtId="170" fontId="9" fillId="0" borderId="0" xfId="2" applyNumberFormat="1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2" fillId="0" borderId="0" xfId="0" applyFont="1" applyAlignment="1"/>
    <xf numFmtId="0" fontId="42" fillId="3" borderId="0" xfId="6" applyFont="1" applyFill="1" applyAlignment="1">
      <alignment vertical="top" wrapText="1"/>
    </xf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9" fillId="0" borderId="0" xfId="2" applyNumberFormat="1" applyFont="1"/>
    <xf numFmtId="10" fontId="4" fillId="0" borderId="1" xfId="2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6" fillId="0" borderId="0" xfId="0" applyFont="1" applyAlignment="1">
      <alignment horizontal="center" wrapText="1"/>
    </xf>
    <xf numFmtId="0" fontId="2" fillId="2" borderId="23" xfId="0" applyFont="1" applyFill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4" fillId="0" borderId="4" xfId="3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4" xfId="3" quotePrefix="1" applyFont="1" applyBorder="1" applyAlignment="1">
      <alignment horizontal="center" vertical="center" wrapText="1"/>
    </xf>
    <xf numFmtId="0" fontId="4" fillId="0" borderId="9" xfId="3" quotePrefix="1" applyFont="1" applyBorder="1" applyAlignment="1">
      <alignment horizontal="center" vertical="center" wrapText="1"/>
    </xf>
    <xf numFmtId="0" fontId="4" fillId="0" borderId="3" xfId="3" quotePrefix="1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34" fillId="3" borderId="0" xfId="6" applyFont="1" applyFill="1" applyAlignment="1">
      <alignment horizontal="left" vertical="center" wrapText="1"/>
    </xf>
    <xf numFmtId="0" fontId="31" fillId="3" borderId="0" xfId="6" applyFont="1" applyFill="1" applyAlignment="1">
      <alignment horizontal="left" vertical="center" wrapText="1"/>
    </xf>
    <xf numFmtId="0" fontId="5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23" xfId="0" applyFont="1" applyBorder="1" applyAlignment="1">
      <alignment horizontal="center"/>
    </xf>
    <xf numFmtId="0" fontId="4" fillId="0" borderId="7" xfId="3" quotePrefix="1" applyFont="1" applyBorder="1" applyAlignment="1">
      <alignment horizontal="center" vertical="center" wrapText="1"/>
    </xf>
    <xf numFmtId="0" fontId="4" fillId="0" borderId="40" xfId="3" quotePrefix="1" applyFont="1" applyBorder="1" applyAlignment="1">
      <alignment horizontal="center" vertical="center" wrapText="1"/>
    </xf>
    <xf numFmtId="0" fontId="4" fillId="0" borderId="1" xfId="3" quotePrefix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31" fillId="3" borderId="14" xfId="6" applyFont="1" applyFill="1" applyBorder="1" applyAlignment="1">
      <alignment horizontal="center" vertical="center" wrapText="1"/>
    </xf>
    <xf numFmtId="0" fontId="31" fillId="3" borderId="16" xfId="6" applyFont="1" applyFill="1" applyBorder="1" applyAlignment="1">
      <alignment horizontal="center" vertical="center" wrapText="1"/>
    </xf>
    <xf numFmtId="0" fontId="31" fillId="3" borderId="17" xfId="6" applyFont="1" applyFill="1" applyBorder="1" applyAlignment="1">
      <alignment horizontal="center" vertical="center" wrapText="1"/>
    </xf>
    <xf numFmtId="0" fontId="31" fillId="3" borderId="18" xfId="6" applyFont="1" applyFill="1" applyBorder="1" applyAlignment="1">
      <alignment horizontal="center" vertical="center" wrapText="1"/>
    </xf>
    <xf numFmtId="0" fontId="31" fillId="3" borderId="20" xfId="6" applyFont="1" applyFill="1" applyBorder="1" applyAlignment="1">
      <alignment horizontal="center" vertical="center" wrapText="1"/>
    </xf>
    <xf numFmtId="0" fontId="31" fillId="3" borderId="15" xfId="6" applyFont="1" applyFill="1" applyBorder="1" applyAlignment="1">
      <alignment horizontal="center" vertical="center" wrapText="1"/>
    </xf>
    <xf numFmtId="0" fontId="31" fillId="3" borderId="21" xfId="6" applyFont="1" applyFill="1" applyBorder="1" applyAlignment="1">
      <alignment horizontal="center" vertical="center" wrapText="1"/>
    </xf>
    <xf numFmtId="0" fontId="42" fillId="3" borderId="0" xfId="6" applyFont="1" applyFill="1" applyAlignment="1">
      <alignment horizontal="center" vertical="top" wrapText="1"/>
    </xf>
    <xf numFmtId="0" fontId="31" fillId="3" borderId="33" xfId="6" applyFont="1" applyFill="1" applyBorder="1" applyAlignment="1">
      <alignment horizontal="center" vertical="center" wrapText="1"/>
    </xf>
    <xf numFmtId="0" fontId="31" fillId="3" borderId="28" xfId="6" applyFont="1" applyFill="1" applyBorder="1" applyAlignment="1">
      <alignment horizontal="center" vertical="center" wrapText="1"/>
    </xf>
    <xf numFmtId="0" fontId="31" fillId="3" borderId="34" xfId="6" applyFont="1" applyFill="1" applyBorder="1" applyAlignment="1">
      <alignment horizontal="center" vertical="center" wrapText="1"/>
    </xf>
    <xf numFmtId="0" fontId="31" fillId="3" borderId="19" xfId="6" applyFont="1" applyFill="1" applyBorder="1" applyAlignment="1">
      <alignment horizontal="center" vertical="center" wrapText="1"/>
    </xf>
    <xf numFmtId="0" fontId="31" fillId="3" borderId="22" xfId="6" applyFont="1" applyFill="1" applyBorder="1" applyAlignment="1">
      <alignment horizontal="center" vertical="center" wrapText="1"/>
    </xf>
    <xf numFmtId="0" fontId="31" fillId="3" borderId="25" xfId="6" applyNumberFormat="1" applyFont="1" applyFill="1" applyBorder="1" applyAlignment="1">
      <alignment horizontal="center" vertical="center" wrapText="1"/>
    </xf>
    <xf numFmtId="0" fontId="31" fillId="3" borderId="26" xfId="6" applyNumberFormat="1" applyFont="1" applyFill="1" applyBorder="1" applyAlignment="1">
      <alignment horizontal="center" vertical="center" wrapText="1"/>
    </xf>
    <xf numFmtId="0" fontId="31" fillId="3" borderId="27" xfId="6" applyNumberFormat="1" applyFont="1" applyFill="1" applyBorder="1" applyAlignment="1">
      <alignment horizontal="center" vertical="center" wrapText="1"/>
    </xf>
    <xf numFmtId="0" fontId="38" fillId="3" borderId="0" xfId="6" applyFont="1" applyFill="1" applyBorder="1" applyAlignment="1">
      <alignment horizontal="center" vertical="center" wrapText="1"/>
    </xf>
    <xf numFmtId="0" fontId="36" fillId="3" borderId="0" xfId="6" applyFont="1" applyFill="1" applyAlignment="1">
      <alignment horizontal="center" vertical="top" wrapText="1"/>
    </xf>
    <xf numFmtId="0" fontId="31" fillId="3" borderId="14" xfId="6" applyNumberFormat="1" applyFont="1" applyFill="1" applyBorder="1" applyAlignment="1">
      <alignment horizontal="center" vertical="center" wrapText="1"/>
    </xf>
    <xf numFmtId="0" fontId="44" fillId="3" borderId="15" xfId="6" applyFont="1" applyFill="1" applyBorder="1" applyAlignment="1">
      <alignment horizontal="center" vertical="top" wrapText="1"/>
    </xf>
    <xf numFmtId="0" fontId="44" fillId="3" borderId="0" xfId="6" applyFont="1" applyFill="1" applyBorder="1" applyAlignment="1">
      <alignment horizontal="center" vertical="top" wrapText="1"/>
    </xf>
    <xf numFmtId="0" fontId="31" fillId="3" borderId="30" xfId="6" applyFont="1" applyFill="1" applyBorder="1" applyAlignment="1">
      <alignment horizontal="center" vertical="center" wrapText="1"/>
    </xf>
    <xf numFmtId="0" fontId="38" fillId="3" borderId="0" xfId="6" applyFont="1" applyFill="1" applyBorder="1" applyAlignment="1">
      <alignment horizontal="center" vertical="top" wrapText="1"/>
    </xf>
    <xf numFmtId="0" fontId="31" fillId="3" borderId="35" xfId="6" applyFont="1" applyFill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31" fillId="3" borderId="31" xfId="6" applyNumberFormat="1" applyFont="1" applyFill="1" applyBorder="1" applyAlignment="1">
      <alignment horizontal="center" vertical="center" wrapText="1"/>
    </xf>
    <xf numFmtId="0" fontId="31" fillId="3" borderId="29" xfId="6" applyNumberFormat="1" applyFont="1" applyFill="1" applyBorder="1" applyAlignment="1">
      <alignment horizontal="center" vertical="center" wrapText="1"/>
    </xf>
    <xf numFmtId="0" fontId="31" fillId="3" borderId="32" xfId="6" applyNumberFormat="1" applyFont="1" applyFill="1" applyBorder="1" applyAlignment="1">
      <alignment horizontal="center" vertical="center" wrapText="1"/>
    </xf>
    <xf numFmtId="0" fontId="31" fillId="3" borderId="30" xfId="6" applyNumberFormat="1" applyFont="1" applyFill="1" applyBorder="1" applyAlignment="1">
      <alignment horizontal="center" vertical="center" wrapText="1"/>
    </xf>
    <xf numFmtId="0" fontId="43" fillId="0" borderId="15" xfId="6" applyFont="1" applyBorder="1" applyAlignment="1">
      <alignment horizontal="center"/>
    </xf>
    <xf numFmtId="0" fontId="31" fillId="3" borderId="0" xfId="6" applyFont="1" applyFill="1" applyAlignment="1">
      <alignment horizontal="center" vertical="center" wrapText="1"/>
    </xf>
    <xf numFmtId="0" fontId="31" fillId="3" borderId="0" xfId="6" applyFont="1" applyFill="1" applyAlignment="1">
      <alignment vertical="center" wrapText="1"/>
    </xf>
    <xf numFmtId="0" fontId="38" fillId="3" borderId="0" xfId="6" applyFont="1" applyFill="1" applyAlignment="1">
      <alignment horizontal="center" vertical="center" wrapText="1"/>
    </xf>
    <xf numFmtId="165" fontId="3" fillId="2" borderId="0" xfId="5" applyNumberFormat="1" applyFont="1" applyFill="1" applyAlignment="1">
      <alignment horizontal="left" vertical="center"/>
    </xf>
    <xf numFmtId="0" fontId="5" fillId="2" borderId="0" xfId="4" applyFont="1" applyFill="1" applyAlignment="1">
      <alignment horizontal="center" vertical="center"/>
    </xf>
    <xf numFmtId="0" fontId="5" fillId="0" borderId="0" xfId="4" applyFont="1" applyAlignment="1">
      <alignment horizontal="center" wrapText="1"/>
    </xf>
    <xf numFmtId="0" fontId="2" fillId="0" borderId="8" xfId="4" applyFont="1" applyBorder="1" applyAlignment="1">
      <alignment horizontal="right" wrapText="1"/>
    </xf>
    <xf numFmtId="0" fontId="2" fillId="0" borderId="0" xfId="4" applyFont="1" applyBorder="1" applyAlignment="1">
      <alignment horizontal="right" wrapText="1"/>
    </xf>
    <xf numFmtId="0" fontId="2" fillId="0" borderId="0" xfId="4" applyFont="1" applyAlignment="1">
      <alignment horizontal="right" wrapText="1"/>
    </xf>
    <xf numFmtId="165" fontId="23" fillId="2" borderId="1" xfId="5" applyNumberFormat="1" applyFont="1" applyFill="1" applyBorder="1" applyAlignment="1">
      <alignment horizontal="center" vertical="center" wrapText="1"/>
    </xf>
    <xf numFmtId="0" fontId="24" fillId="2" borderId="1" xfId="4" applyFont="1" applyFill="1" applyBorder="1" applyAlignment="1">
      <alignment horizontal="center" vertical="center"/>
    </xf>
    <xf numFmtId="0" fontId="24" fillId="2" borderId="1" xfId="4" applyFont="1" applyFill="1" applyBorder="1" applyAlignment="1">
      <alignment vertical="center"/>
    </xf>
    <xf numFmtId="3" fontId="23" fillId="2" borderId="7" xfId="5" applyNumberFormat="1" applyFont="1" applyFill="1" applyBorder="1" applyAlignment="1">
      <alignment horizontal="center" vertical="center" wrapText="1"/>
    </xf>
    <xf numFmtId="3" fontId="23" fillId="2" borderId="10" xfId="5" applyNumberFormat="1" applyFont="1" applyFill="1" applyBorder="1" applyAlignment="1">
      <alignment horizontal="center" vertical="center" wrapText="1"/>
    </xf>
    <xf numFmtId="3" fontId="23" fillId="2" borderId="11" xfId="5" applyNumberFormat="1" applyFont="1" applyFill="1" applyBorder="1" applyAlignment="1">
      <alignment horizontal="center" vertical="center" wrapText="1"/>
    </xf>
    <xf numFmtId="3" fontId="23" fillId="2" borderId="12" xfId="5" applyNumberFormat="1" applyFont="1" applyFill="1" applyBorder="1" applyAlignment="1">
      <alignment horizontal="center" vertical="center" wrapText="1"/>
    </xf>
    <xf numFmtId="3" fontId="23" fillId="2" borderId="8" xfId="5" applyNumberFormat="1" applyFont="1" applyFill="1" applyBorder="1" applyAlignment="1">
      <alignment horizontal="center" vertical="center" wrapText="1"/>
    </xf>
    <xf numFmtId="3" fontId="23" fillId="2" borderId="13" xfId="5" applyNumberFormat="1" applyFont="1" applyFill="1" applyBorder="1" applyAlignment="1">
      <alignment horizontal="center" vertical="center" wrapText="1"/>
    </xf>
    <xf numFmtId="165" fontId="23" fillId="2" borderId="1" xfId="5" applyNumberFormat="1" applyFont="1" applyFill="1" applyBorder="1" applyAlignment="1">
      <alignment horizontal="center" vertical="center"/>
    </xf>
    <xf numFmtId="0" fontId="25" fillId="2" borderId="6" xfId="4" applyFont="1" applyFill="1" applyBorder="1" applyAlignment="1">
      <alignment horizontal="center" vertical="center" wrapText="1"/>
    </xf>
    <xf numFmtId="0" fontId="25" fillId="2" borderId="2" xfId="4" applyFont="1" applyFill="1" applyBorder="1" applyAlignment="1">
      <alignment horizontal="center" vertical="center" wrapText="1"/>
    </xf>
    <xf numFmtId="3" fontId="23" fillId="2" borderId="4" xfId="5" applyNumberFormat="1" applyFont="1" applyFill="1" applyBorder="1" applyAlignment="1">
      <alignment horizontal="center" vertical="center"/>
    </xf>
    <xf numFmtId="3" fontId="23" fillId="2" borderId="9" xfId="5" applyNumberFormat="1" applyFont="1" applyFill="1" applyBorder="1" applyAlignment="1">
      <alignment horizontal="center" vertical="center"/>
    </xf>
    <xf numFmtId="3" fontId="23" fillId="2" borderId="3" xfId="5" applyNumberFormat="1" applyFont="1" applyFill="1" applyBorder="1" applyAlignment="1">
      <alignment horizontal="center" vertical="center"/>
    </xf>
    <xf numFmtId="3" fontId="23" fillId="2" borderId="4" xfId="4" applyNumberFormat="1" applyFont="1" applyFill="1" applyBorder="1" applyAlignment="1">
      <alignment horizontal="center" vertical="center" wrapText="1"/>
    </xf>
    <xf numFmtId="3" fontId="23" fillId="2" borderId="9" xfId="4" applyNumberFormat="1" applyFont="1" applyFill="1" applyBorder="1" applyAlignment="1">
      <alignment horizontal="center" vertical="center" wrapText="1"/>
    </xf>
    <xf numFmtId="3" fontId="23" fillId="2" borderId="3" xfId="4" applyNumberFormat="1" applyFont="1" applyFill="1" applyBorder="1" applyAlignment="1">
      <alignment horizontal="center" vertical="center" wrapText="1"/>
    </xf>
  </cellXfs>
  <cellStyles count="7">
    <cellStyle name="Comma" xfId="1" builtinId="3"/>
    <cellStyle name="Comma 2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6" xfId="6" xr:uid="{3CF715BC-E9FC-4976-8E88-029FD1CFE02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nhDinh_Ph&#7909;%20l&#7909;c%202_moi_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bieu so 05b"/>
      <sheetName val="Mau bieu so 02(theBHYT_thu)"/>
      <sheetName val="Quydinhsuat"/>
      <sheetName val="ChiKCB_2021_2022"/>
      <sheetName val="Giatang2021"/>
      <sheetName val="Giatang2022"/>
      <sheetName val="Tongmucthanhtoan2019_2021"/>
      <sheetName val="Tongmuc2022"/>
      <sheetName val="Sosanhluot2019_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D10">
            <v>506040.31107022485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34C33-8608-4F9E-B544-AE7B00E668ED}">
  <dimension ref="A1:H42"/>
  <sheetViews>
    <sheetView workbookViewId="0">
      <selection activeCell="C7" sqref="C7:C9"/>
    </sheetView>
  </sheetViews>
  <sheetFormatPr defaultColWidth="9.1796875" defaultRowHeight="15.5"/>
  <cols>
    <col min="1" max="1" width="9.6328125" style="113" customWidth="1"/>
    <col min="2" max="2" width="45.7265625" style="107" customWidth="1"/>
    <col min="3" max="3" width="10.7265625" style="107" customWidth="1"/>
    <col min="4" max="4" width="11" style="107" customWidth="1"/>
    <col min="5" max="5" width="10.453125" style="107" customWidth="1"/>
    <col min="6" max="6" width="8.81640625" style="107" customWidth="1"/>
    <col min="7" max="7" width="10.453125" style="107" customWidth="1"/>
    <col min="8" max="8" width="11" style="107" bestFit="1" customWidth="1"/>
    <col min="9" max="16384" width="9.1796875" style="107"/>
  </cols>
  <sheetData>
    <row r="1" spans="1:8">
      <c r="A1" s="104" t="s">
        <v>3</v>
      </c>
      <c r="B1" s="105"/>
      <c r="C1" s="106"/>
      <c r="E1" s="193" t="s">
        <v>247</v>
      </c>
      <c r="F1" s="193"/>
      <c r="G1" s="193"/>
    </row>
    <row r="2" spans="1:8">
      <c r="A2" s="105" t="s">
        <v>155</v>
      </c>
      <c r="B2" s="105"/>
      <c r="C2" s="106"/>
      <c r="D2" s="106"/>
      <c r="E2" s="106"/>
      <c r="F2" s="106"/>
      <c r="G2" s="106"/>
    </row>
    <row r="3" spans="1:8">
      <c r="A3" s="108"/>
      <c r="B3" s="108"/>
      <c r="C3" s="106"/>
      <c r="D3" s="106"/>
      <c r="E3" s="106"/>
      <c r="F3" s="106"/>
      <c r="G3" s="106"/>
    </row>
    <row r="4" spans="1:8" ht="17.5">
      <c r="A4" s="198" t="s">
        <v>193</v>
      </c>
      <c r="B4" s="198"/>
      <c r="C4" s="198"/>
      <c r="D4" s="198"/>
      <c r="E4" s="198"/>
      <c r="F4" s="198"/>
      <c r="G4" s="198"/>
    </row>
    <row r="5" spans="1:8" ht="33.75" customHeight="1">
      <c r="A5" s="199" t="s">
        <v>156</v>
      </c>
      <c r="B5" s="199"/>
      <c r="C5" s="199"/>
      <c r="D5" s="199"/>
      <c r="E5" s="199"/>
      <c r="F5" s="199"/>
      <c r="G5" s="199"/>
    </row>
    <row r="6" spans="1:8">
      <c r="A6" s="109"/>
      <c r="B6" s="106"/>
      <c r="C6" s="106"/>
      <c r="D6" s="200" t="s">
        <v>4</v>
      </c>
      <c r="E6" s="200"/>
      <c r="F6" s="200"/>
      <c r="G6" s="200"/>
    </row>
    <row r="7" spans="1:8" ht="36" customHeight="1">
      <c r="A7" s="201" t="s">
        <v>157</v>
      </c>
      <c r="B7" s="201" t="s">
        <v>158</v>
      </c>
      <c r="C7" s="204" t="s">
        <v>159</v>
      </c>
      <c r="D7" s="201" t="s">
        <v>160</v>
      </c>
      <c r="E7" s="194" t="s">
        <v>161</v>
      </c>
      <c r="F7" s="194"/>
      <c r="G7" s="194"/>
    </row>
    <row r="8" spans="1:8" ht="50.25" customHeight="1">
      <c r="A8" s="202"/>
      <c r="B8" s="202"/>
      <c r="C8" s="205"/>
      <c r="D8" s="202"/>
      <c r="E8" s="194" t="s">
        <v>162</v>
      </c>
      <c r="F8" s="196" t="s">
        <v>163</v>
      </c>
      <c r="G8" s="197"/>
    </row>
    <row r="9" spans="1:8" ht="44.25" customHeight="1">
      <c r="A9" s="203"/>
      <c r="B9" s="203"/>
      <c r="C9" s="203"/>
      <c r="D9" s="203"/>
      <c r="E9" s="195"/>
      <c r="F9" s="110" t="s">
        <v>164</v>
      </c>
      <c r="G9" s="111" t="s">
        <v>165</v>
      </c>
    </row>
    <row r="10" spans="1:8" s="113" customFormat="1">
      <c r="A10" s="112" t="s">
        <v>2</v>
      </c>
      <c r="B10" s="112" t="s">
        <v>1</v>
      </c>
      <c r="C10" s="112">
        <v>1</v>
      </c>
      <c r="D10" s="112">
        <v>2</v>
      </c>
      <c r="E10" s="112">
        <v>3</v>
      </c>
      <c r="F10" s="112" t="s">
        <v>166</v>
      </c>
      <c r="G10" s="112" t="s">
        <v>167</v>
      </c>
    </row>
    <row r="11" spans="1:8" s="106" customFormat="1" ht="20.149999999999999" customHeight="1">
      <c r="A11" s="114" t="s">
        <v>168</v>
      </c>
      <c r="B11" s="115" t="s">
        <v>169</v>
      </c>
      <c r="C11" s="116">
        <f>'Mau bieu so 02(theBHYT_thu)'!D9</f>
        <v>1435001</v>
      </c>
      <c r="D11" s="116">
        <f>'Mau bieu so 02(theBHYT_thu)'!E9</f>
        <v>1416386.8285714285</v>
      </c>
      <c r="E11" s="116">
        <f>'Mau bieu so 02(theBHYT_thu)'!F9</f>
        <v>1429772.1958517428</v>
      </c>
      <c r="F11" s="116">
        <f>E11-D11</f>
        <v>13385.367280314211</v>
      </c>
      <c r="G11" s="117">
        <f>E11/D11</f>
        <v>1.0094503613068859</v>
      </c>
    </row>
    <row r="12" spans="1:8" s="106" customFormat="1" ht="20.149999999999999" customHeight="1">
      <c r="A12" s="118" t="s">
        <v>170</v>
      </c>
      <c r="B12" s="119" t="s">
        <v>171</v>
      </c>
      <c r="C12" s="120">
        <v>1351412</v>
      </c>
      <c r="D12" s="120">
        <f>'Mau bieu so 02(theBHYT_thu)'!L10</f>
        <v>1317715.6478779449</v>
      </c>
      <c r="E12" s="120">
        <f>'Mau bieu so 02(theBHYT_thu)'!M10</f>
        <v>1338840.7729118099</v>
      </c>
      <c r="F12" s="120">
        <f t="shared" ref="F12:F24" si="0">E12-D12</f>
        <v>21125.125033864984</v>
      </c>
      <c r="G12" s="121">
        <f t="shared" ref="G12:G24" si="1">E12/D12</f>
        <v>1.0160316264498224</v>
      </c>
    </row>
    <row r="13" spans="1:8" s="106" customFormat="1" ht="20.149999999999999" customHeight="1">
      <c r="A13" s="118" t="s">
        <v>0</v>
      </c>
      <c r="B13" s="119" t="s">
        <v>172</v>
      </c>
      <c r="C13" s="120">
        <f>C12*90%</f>
        <v>1216270.8</v>
      </c>
      <c r="D13" s="120">
        <f t="shared" ref="D13:E13" si="2">D12*90%</f>
        <v>1185944.0830901505</v>
      </c>
      <c r="E13" s="120">
        <f t="shared" si="2"/>
        <v>1204956.695620629</v>
      </c>
      <c r="F13" s="120">
        <f t="shared" si="0"/>
        <v>19012.612530478509</v>
      </c>
      <c r="G13" s="121">
        <f t="shared" si="1"/>
        <v>1.0160316264498224</v>
      </c>
    </row>
    <row r="14" spans="1:8" s="106" customFormat="1" ht="20.149999999999999" customHeight="1">
      <c r="A14" s="118" t="s">
        <v>173</v>
      </c>
      <c r="B14" s="119" t="s">
        <v>174</v>
      </c>
      <c r="C14" s="120">
        <f>C15+C19+C20</f>
        <v>1221177.3590700005</v>
      </c>
      <c r="D14" s="120">
        <f t="shared" ref="D14:F14" si="3">D15+D19+D20</f>
        <v>1167700.336646267</v>
      </c>
      <c r="E14" s="120">
        <f t="shared" si="3"/>
        <v>1505159.7078918398</v>
      </c>
      <c r="F14" s="120">
        <f t="shared" si="3"/>
        <v>337459.37124557287</v>
      </c>
      <c r="G14" s="121">
        <f t="shared" si="1"/>
        <v>1.2889948393907158</v>
      </c>
      <c r="H14" s="154"/>
    </row>
    <row r="15" spans="1:8">
      <c r="A15" s="122">
        <v>1</v>
      </c>
      <c r="B15" s="123" t="s">
        <v>175</v>
      </c>
      <c r="C15" s="120">
        <f>SUM(C16:C18)</f>
        <v>10810.428435999998</v>
      </c>
      <c r="D15" s="120">
        <f t="shared" ref="D15:E15" si="4">SUM(D16:D18)</f>
        <v>11461</v>
      </c>
      <c r="E15" s="120">
        <f t="shared" si="4"/>
        <v>11958</v>
      </c>
      <c r="F15" s="120">
        <f t="shared" si="0"/>
        <v>497</v>
      </c>
      <c r="G15" s="121">
        <f t="shared" si="1"/>
        <v>1.0433644533635809</v>
      </c>
      <c r="H15" s="171"/>
    </row>
    <row r="16" spans="1:8">
      <c r="A16" s="124" t="s">
        <v>176</v>
      </c>
      <c r="B16" s="125" t="s">
        <v>177</v>
      </c>
      <c r="C16" s="126">
        <v>9739.4019489999991</v>
      </c>
      <c r="D16" s="126">
        <v>10177</v>
      </c>
      <c r="E16" s="126">
        <v>10498</v>
      </c>
      <c r="F16" s="126">
        <f t="shared" si="0"/>
        <v>321</v>
      </c>
      <c r="G16" s="148">
        <f t="shared" si="1"/>
        <v>1.0315417117028594</v>
      </c>
    </row>
    <row r="17" spans="1:8">
      <c r="A17" s="127" t="s">
        <v>178</v>
      </c>
      <c r="B17" s="125" t="s">
        <v>179</v>
      </c>
      <c r="C17" s="128">
        <v>1019.6503259999999</v>
      </c>
      <c r="D17" s="128">
        <v>1211</v>
      </c>
      <c r="E17" s="128">
        <v>1373</v>
      </c>
      <c r="F17" s="128">
        <f t="shared" si="0"/>
        <v>162</v>
      </c>
      <c r="G17" s="149">
        <f t="shared" si="1"/>
        <v>1.1337737407101569</v>
      </c>
    </row>
    <row r="18" spans="1:8">
      <c r="A18" s="127" t="s">
        <v>180</v>
      </c>
      <c r="B18" s="125" t="s">
        <v>181</v>
      </c>
      <c r="C18" s="128">
        <v>51.376161000000003</v>
      </c>
      <c r="D18" s="128">
        <v>73</v>
      </c>
      <c r="E18" s="128">
        <v>87</v>
      </c>
      <c r="F18" s="128">
        <f t="shared" si="0"/>
        <v>14</v>
      </c>
      <c r="G18" s="149">
        <f t="shared" si="1"/>
        <v>1.1917808219178083</v>
      </c>
    </row>
    <row r="19" spans="1:8" s="106" customFormat="1">
      <c r="A19" s="129">
        <v>2</v>
      </c>
      <c r="B19" s="130" t="s">
        <v>182</v>
      </c>
      <c r="C19" s="131">
        <v>1009.983693</v>
      </c>
      <c r="D19" s="131">
        <v>1183</v>
      </c>
      <c r="E19" s="131">
        <v>1272.6620546251575</v>
      </c>
      <c r="F19" s="131">
        <f t="shared" si="0"/>
        <v>89.662054625157452</v>
      </c>
      <c r="G19" s="150">
        <f t="shared" si="1"/>
        <v>1.0757921002748583</v>
      </c>
    </row>
    <row r="20" spans="1:8" s="106" customFormat="1">
      <c r="A20" s="129">
        <v>3</v>
      </c>
      <c r="B20" s="130" t="s">
        <v>183</v>
      </c>
      <c r="C20" s="132">
        <f>Tongmucthanhtoan2019_2021!I44</f>
        <v>1209356.9469410004</v>
      </c>
      <c r="D20" s="132">
        <f>ChiKCB_2022!L43</f>
        <v>1155056.336646267</v>
      </c>
      <c r="E20" s="132">
        <f>ChiKCB_2022!U43</f>
        <v>1491929.0458372147</v>
      </c>
      <c r="F20" s="132">
        <f t="shared" si="0"/>
        <v>336872.7091909477</v>
      </c>
      <c r="G20" s="151">
        <f t="shared" si="1"/>
        <v>1.2916504576469972</v>
      </c>
      <c r="H20" s="154"/>
    </row>
    <row r="21" spans="1:8" s="133" customFormat="1">
      <c r="A21" s="124" t="s">
        <v>184</v>
      </c>
      <c r="B21" s="125" t="s">
        <v>185</v>
      </c>
      <c r="C21" s="128">
        <f>C20-C22</f>
        <v>1209356.9469410004</v>
      </c>
      <c r="D21" s="128">
        <f t="shared" ref="D21:E21" si="5">D20-D22</f>
        <v>988990.13664626703</v>
      </c>
      <c r="E21" s="128">
        <f t="shared" si="5"/>
        <v>1181477.5108372145</v>
      </c>
      <c r="F21" s="128">
        <f t="shared" si="0"/>
        <v>192487.37419094751</v>
      </c>
      <c r="G21" s="149">
        <f t="shared" si="1"/>
        <v>1.1946302263879853</v>
      </c>
      <c r="H21" s="172"/>
    </row>
    <row r="22" spans="1:8" s="133" customFormat="1">
      <c r="A22" s="134" t="s">
        <v>186</v>
      </c>
      <c r="B22" s="135" t="s">
        <v>187</v>
      </c>
      <c r="C22" s="136"/>
      <c r="D22" s="136">
        <f>Quydinhsuat!D31*54%*95%</f>
        <v>166066.19999999998</v>
      </c>
      <c r="E22" s="136">
        <f>Quydinhsuat!E31*95%</f>
        <v>310451.53500000003</v>
      </c>
      <c r="F22" s="136">
        <f t="shared" si="0"/>
        <v>144385.33500000005</v>
      </c>
      <c r="G22" s="152">
        <f t="shared" si="1"/>
        <v>1.8694444444444449</v>
      </c>
    </row>
    <row r="23" spans="1:8" s="140" customFormat="1" ht="18.5" customHeight="1">
      <c r="A23" s="137" t="s">
        <v>188</v>
      </c>
      <c r="B23" s="138" t="s">
        <v>189</v>
      </c>
      <c r="C23" s="139">
        <v>1291168</v>
      </c>
      <c r="D23" s="139">
        <v>1240368</v>
      </c>
      <c r="E23" s="139">
        <v>1338508</v>
      </c>
      <c r="F23" s="139">
        <f t="shared" si="0"/>
        <v>98140</v>
      </c>
      <c r="G23" s="153">
        <f t="shared" si="1"/>
        <v>1.0791216800175432</v>
      </c>
    </row>
    <row r="24" spans="1:8" s="140" customFormat="1" ht="15">
      <c r="A24" s="141" t="s">
        <v>190</v>
      </c>
      <c r="B24" s="142" t="s">
        <v>191</v>
      </c>
      <c r="C24" s="143">
        <f>C23-C14</f>
        <v>69990.640929999528</v>
      </c>
      <c r="D24" s="143">
        <f t="shared" ref="D24:E24" si="6">D23-D14</f>
        <v>72667.66335373302</v>
      </c>
      <c r="E24" s="143">
        <f t="shared" si="6"/>
        <v>-166651.70789183979</v>
      </c>
      <c r="F24" s="143">
        <f t="shared" si="0"/>
        <v>-239319.37124557281</v>
      </c>
      <c r="G24" s="144">
        <f t="shared" si="1"/>
        <v>-2.2933406717732132</v>
      </c>
    </row>
    <row r="25" spans="1:8" s="140" customFormat="1" ht="20.5" customHeight="1">
      <c r="A25" s="141"/>
      <c r="B25" s="142" t="s">
        <v>192</v>
      </c>
      <c r="C25" s="144">
        <f>C24/C23</f>
        <v>5.4207230143559576E-2</v>
      </c>
      <c r="D25" s="144">
        <f t="shared" ref="D25:E25" si="7">D24/D23</f>
        <v>5.858556763293879E-2</v>
      </c>
      <c r="E25" s="144">
        <f t="shared" si="7"/>
        <v>-0.12450557478314644</v>
      </c>
      <c r="F25" s="144"/>
      <c r="G25" s="144"/>
    </row>
    <row r="26" spans="1:8">
      <c r="A26" s="145"/>
      <c r="G26" s="146"/>
    </row>
    <row r="27" spans="1:8">
      <c r="A27" s="145"/>
      <c r="D27" s="192" t="s">
        <v>240</v>
      </c>
      <c r="E27" s="192"/>
      <c r="F27" s="192"/>
      <c r="G27" s="192"/>
    </row>
    <row r="28" spans="1:8">
      <c r="A28" s="193" t="s">
        <v>237</v>
      </c>
      <c r="B28" s="193"/>
      <c r="C28" s="182" t="s">
        <v>238</v>
      </c>
      <c r="D28" s="182"/>
      <c r="E28" s="182"/>
      <c r="F28" s="183"/>
      <c r="G28" s="182"/>
    </row>
    <row r="29" spans="1:8">
      <c r="A29" s="184" t="s">
        <v>241</v>
      </c>
      <c r="B29" s="184"/>
      <c r="C29" s="192" t="s">
        <v>239</v>
      </c>
      <c r="D29" s="192"/>
      <c r="E29" s="192"/>
      <c r="F29" s="192"/>
      <c r="G29" s="192"/>
    </row>
    <row r="38" spans="1:7" s="106" customFormat="1">
      <c r="A38" s="113"/>
      <c r="B38" s="107"/>
      <c r="C38" s="107"/>
      <c r="D38" s="107"/>
      <c r="E38" s="107"/>
      <c r="F38" s="107"/>
      <c r="G38" s="107"/>
    </row>
    <row r="42" spans="1:7" s="147" customFormat="1">
      <c r="A42" s="113"/>
      <c r="B42" s="107"/>
      <c r="C42" s="107"/>
      <c r="D42" s="107"/>
      <c r="E42" s="107"/>
      <c r="F42" s="107"/>
      <c r="G42" s="107"/>
    </row>
  </sheetData>
  <mergeCells count="14">
    <mergeCell ref="C29:G29"/>
    <mergeCell ref="E1:G1"/>
    <mergeCell ref="D27:G27"/>
    <mergeCell ref="E8:E9"/>
    <mergeCell ref="F8:G8"/>
    <mergeCell ref="A4:G4"/>
    <mergeCell ref="A5:G5"/>
    <mergeCell ref="D6:G6"/>
    <mergeCell ref="A7:A9"/>
    <mergeCell ref="B7:B9"/>
    <mergeCell ref="C7:C9"/>
    <mergeCell ref="D7:D9"/>
    <mergeCell ref="E7:G7"/>
    <mergeCell ref="A28:B28"/>
  </mergeCells>
  <pageMargins left="0.41" right="0.19685039370078741" top="0.47" bottom="0.19685039370078741" header="0.31496062992125984" footer="0.31496062992125984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workbookViewId="0">
      <selection activeCell="H6" sqref="H6"/>
    </sheetView>
  </sheetViews>
  <sheetFormatPr defaultRowHeight="14.5"/>
  <cols>
    <col min="2" max="2" width="29.90625" bestFit="1" customWidth="1"/>
    <col min="3" max="3" width="14.08984375" customWidth="1"/>
    <col min="4" max="4" width="16.453125" customWidth="1"/>
    <col min="5" max="5" width="10.81640625" bestFit="1" customWidth="1"/>
    <col min="7" max="7" width="9.90625" bestFit="1" customWidth="1"/>
  </cols>
  <sheetData>
    <row r="1" spans="1:7" ht="14.5" customHeight="1">
      <c r="A1" s="222" t="s">
        <v>3</v>
      </c>
      <c r="B1" s="222"/>
      <c r="C1" s="179"/>
      <c r="D1" s="265" t="s">
        <v>256</v>
      </c>
      <c r="E1" s="265"/>
    </row>
    <row r="2" spans="1:7" ht="14.5" customHeight="1">
      <c r="A2" s="264" t="s">
        <v>109</v>
      </c>
      <c r="B2" s="264"/>
      <c r="C2" s="180"/>
      <c r="D2" s="180"/>
    </row>
    <row r="3" spans="1:7" ht="33" customHeight="1">
      <c r="A3" s="263" t="s">
        <v>198</v>
      </c>
      <c r="B3" s="263"/>
      <c r="C3" s="263"/>
      <c r="D3" s="263"/>
      <c r="E3" s="263"/>
    </row>
    <row r="4" spans="1:7">
      <c r="D4" s="102" t="s">
        <v>4</v>
      </c>
      <c r="E4" s="102"/>
    </row>
    <row r="5" spans="1:7" ht="34.5">
      <c r="A5" s="80" t="s">
        <v>5</v>
      </c>
      <c r="B5" s="80" t="s">
        <v>6</v>
      </c>
      <c r="C5" s="80" t="s">
        <v>7</v>
      </c>
      <c r="D5" s="81" t="s">
        <v>138</v>
      </c>
      <c r="E5" s="81" t="s">
        <v>139</v>
      </c>
    </row>
    <row r="6" spans="1:7">
      <c r="A6" s="82" t="s">
        <v>2</v>
      </c>
      <c r="B6" s="82" t="s">
        <v>1</v>
      </c>
      <c r="C6" s="82" t="s">
        <v>112</v>
      </c>
      <c r="D6" s="82">
        <v>1</v>
      </c>
      <c r="E6" s="82" t="s">
        <v>140</v>
      </c>
    </row>
    <row r="7" spans="1:7" ht="18">
      <c r="A7" s="83">
        <v>1</v>
      </c>
      <c r="B7" s="84" t="s">
        <v>13</v>
      </c>
      <c r="C7" s="84">
        <v>52001</v>
      </c>
      <c r="D7" s="85">
        <v>29594.736842105263</v>
      </c>
      <c r="E7" s="85">
        <f>D7*1.0095</f>
        <v>29875.886842105265</v>
      </c>
      <c r="G7" s="173"/>
    </row>
    <row r="8" spans="1:7" ht="18">
      <c r="A8" s="83">
        <v>2</v>
      </c>
      <c r="B8" s="84" t="s">
        <v>14</v>
      </c>
      <c r="C8" s="84">
        <v>52002</v>
      </c>
      <c r="D8" s="85">
        <v>36988.42105263158</v>
      </c>
      <c r="E8" s="85">
        <f t="shared" ref="E8:E30" si="0">D8*1.0095</f>
        <v>37339.81105263158</v>
      </c>
      <c r="G8" s="174"/>
    </row>
    <row r="9" spans="1:7" ht="18">
      <c r="A9" s="83">
        <v>3</v>
      </c>
      <c r="B9" s="84" t="s">
        <v>26</v>
      </c>
      <c r="C9" s="84">
        <v>52004</v>
      </c>
      <c r="D9" s="85">
        <v>1309.4736842105265</v>
      </c>
      <c r="E9" s="85">
        <f t="shared" si="0"/>
        <v>1321.9136842105265</v>
      </c>
      <c r="G9" s="174"/>
    </row>
    <row r="10" spans="1:7" ht="18">
      <c r="A10" s="83">
        <v>4</v>
      </c>
      <c r="B10" s="84" t="s">
        <v>15</v>
      </c>
      <c r="C10" s="84">
        <v>52006</v>
      </c>
      <c r="D10" s="85">
        <v>21152.63157894737</v>
      </c>
      <c r="E10" s="85">
        <f t="shared" si="0"/>
        <v>21353.581578947371</v>
      </c>
      <c r="G10" s="174"/>
    </row>
    <row r="11" spans="1:7" ht="18">
      <c r="A11" s="83">
        <v>5</v>
      </c>
      <c r="B11" s="84" t="s">
        <v>16</v>
      </c>
      <c r="C11" s="84">
        <v>52007</v>
      </c>
      <c r="D11" s="85">
        <v>23427.368421052633</v>
      </c>
      <c r="E11" s="85">
        <f t="shared" si="0"/>
        <v>23649.928421052635</v>
      </c>
      <c r="G11" s="174"/>
    </row>
    <row r="12" spans="1:7">
      <c r="A12" s="83">
        <v>6</v>
      </c>
      <c r="B12" s="84" t="s">
        <v>24</v>
      </c>
      <c r="C12" s="84">
        <v>52008</v>
      </c>
      <c r="D12" s="85">
        <v>3447.3684210526317</v>
      </c>
      <c r="E12" s="85">
        <f t="shared" si="0"/>
        <v>3480.1184210526317</v>
      </c>
      <c r="G12" s="175"/>
    </row>
    <row r="13" spans="1:7">
      <c r="A13" s="83">
        <v>7</v>
      </c>
      <c r="B13" s="84" t="s">
        <v>17</v>
      </c>
      <c r="C13" s="84">
        <v>52009</v>
      </c>
      <c r="D13" s="85">
        <v>29656.84210526316</v>
      </c>
      <c r="E13" s="85">
        <f t="shared" si="0"/>
        <v>29938.582105263162</v>
      </c>
    </row>
    <row r="14" spans="1:7">
      <c r="A14" s="83">
        <v>8</v>
      </c>
      <c r="B14" s="84" t="s">
        <v>136</v>
      </c>
      <c r="C14" s="84">
        <v>52010</v>
      </c>
      <c r="D14" s="85">
        <v>3104.2105263157896</v>
      </c>
      <c r="E14" s="85">
        <f t="shared" si="0"/>
        <v>3133.7005263157898</v>
      </c>
    </row>
    <row r="15" spans="1:7">
      <c r="A15" s="83">
        <v>9</v>
      </c>
      <c r="B15" s="84" t="s">
        <v>23</v>
      </c>
      <c r="C15" s="84">
        <v>52011</v>
      </c>
      <c r="D15" s="85">
        <v>6777.8947368421059</v>
      </c>
      <c r="E15" s="85">
        <f t="shared" si="0"/>
        <v>6842.2847368421062</v>
      </c>
    </row>
    <row r="16" spans="1:7">
      <c r="A16" s="83">
        <v>10</v>
      </c>
      <c r="B16" s="84" t="s">
        <v>22</v>
      </c>
      <c r="C16" s="84">
        <v>52012</v>
      </c>
      <c r="D16" s="85">
        <v>4011.5789473684213</v>
      </c>
      <c r="E16" s="85">
        <f t="shared" si="0"/>
        <v>4049.6889473684214</v>
      </c>
    </row>
    <row r="17" spans="1:5">
      <c r="A17" s="83">
        <v>11</v>
      </c>
      <c r="B17" s="84" t="s">
        <v>20</v>
      </c>
      <c r="C17" s="84">
        <v>52013</v>
      </c>
      <c r="D17" s="85">
        <v>8872.6315789473683</v>
      </c>
      <c r="E17" s="85">
        <f t="shared" si="0"/>
        <v>8956.9215789473692</v>
      </c>
    </row>
    <row r="18" spans="1:5">
      <c r="A18" s="83">
        <v>12</v>
      </c>
      <c r="B18" s="84" t="s">
        <v>76</v>
      </c>
      <c r="C18" s="84">
        <v>52014</v>
      </c>
      <c r="D18" s="85">
        <v>11834.736842105263</v>
      </c>
      <c r="E18" s="85">
        <f t="shared" si="0"/>
        <v>11947.166842105264</v>
      </c>
    </row>
    <row r="19" spans="1:5">
      <c r="A19" s="83">
        <v>13</v>
      </c>
      <c r="B19" s="84" t="s">
        <v>18</v>
      </c>
      <c r="C19" s="84">
        <v>52015</v>
      </c>
      <c r="D19" s="85">
        <v>18557.894736842107</v>
      </c>
      <c r="E19" s="85">
        <f t="shared" si="0"/>
        <v>18734.19473684211</v>
      </c>
    </row>
    <row r="20" spans="1:5">
      <c r="A20" s="83">
        <v>14</v>
      </c>
      <c r="B20" s="84" t="s">
        <v>25</v>
      </c>
      <c r="C20" s="84">
        <v>52017</v>
      </c>
      <c r="D20" s="85">
        <v>20527.368421052633</v>
      </c>
      <c r="E20" s="85">
        <f t="shared" si="0"/>
        <v>20722.378421052636</v>
      </c>
    </row>
    <row r="21" spans="1:5">
      <c r="A21" s="83">
        <v>15</v>
      </c>
      <c r="B21" s="84" t="s">
        <v>92</v>
      </c>
      <c r="C21" s="84">
        <v>52019</v>
      </c>
      <c r="D21" s="85">
        <v>14744.21052631579</v>
      </c>
      <c r="E21" s="85">
        <f t="shared" si="0"/>
        <v>14884.280526315792</v>
      </c>
    </row>
    <row r="22" spans="1:5">
      <c r="A22" s="83">
        <v>16</v>
      </c>
      <c r="B22" s="84" t="s">
        <v>137</v>
      </c>
      <c r="C22" s="84">
        <v>52024</v>
      </c>
      <c r="D22" s="85">
        <v>1636.8421052631579</v>
      </c>
      <c r="E22" s="85">
        <f t="shared" si="0"/>
        <v>1652.3921052631581</v>
      </c>
    </row>
    <row r="23" spans="1:5">
      <c r="A23" s="83">
        <v>17</v>
      </c>
      <c r="B23" s="84" t="s">
        <v>21</v>
      </c>
      <c r="C23" s="84">
        <v>52185</v>
      </c>
      <c r="D23" s="85">
        <v>17883.157894736843</v>
      </c>
      <c r="E23" s="85">
        <f t="shared" si="0"/>
        <v>18053.047894736843</v>
      </c>
    </row>
    <row r="24" spans="1:5">
      <c r="A24" s="83">
        <v>18</v>
      </c>
      <c r="B24" s="84" t="s">
        <v>97</v>
      </c>
      <c r="C24" s="84">
        <v>52186</v>
      </c>
      <c r="D24" s="85">
        <v>13987.368421052632</v>
      </c>
      <c r="E24" s="85">
        <f t="shared" si="0"/>
        <v>14120.248421052633</v>
      </c>
    </row>
    <row r="25" spans="1:5">
      <c r="A25" s="83">
        <v>19</v>
      </c>
      <c r="B25" s="84" t="s">
        <v>95</v>
      </c>
      <c r="C25" s="84">
        <v>52187</v>
      </c>
      <c r="D25" s="85">
        <v>18120</v>
      </c>
      <c r="E25" s="85">
        <f t="shared" si="0"/>
        <v>18292.14</v>
      </c>
    </row>
    <row r="26" spans="1:5">
      <c r="A26" s="83">
        <v>20</v>
      </c>
      <c r="B26" s="84" t="s">
        <v>99</v>
      </c>
      <c r="C26" s="84">
        <v>52196</v>
      </c>
      <c r="D26" s="85">
        <v>24251.578947368424</v>
      </c>
      <c r="E26" s="85">
        <f t="shared" si="0"/>
        <v>24481.968947368427</v>
      </c>
    </row>
    <row r="27" spans="1:5">
      <c r="A27" s="83">
        <v>21</v>
      </c>
      <c r="B27" s="84" t="s">
        <v>39</v>
      </c>
      <c r="C27" s="84">
        <v>52199</v>
      </c>
      <c r="D27" s="85">
        <v>909.47368421052636</v>
      </c>
      <c r="E27" s="85">
        <f t="shared" si="0"/>
        <v>918.11368421052646</v>
      </c>
    </row>
    <row r="28" spans="1:5">
      <c r="A28" s="83">
        <v>22</v>
      </c>
      <c r="B28" s="84" t="s">
        <v>38</v>
      </c>
      <c r="C28" s="84">
        <v>52200</v>
      </c>
      <c r="D28" s="85">
        <v>3016.8421052631579</v>
      </c>
      <c r="E28" s="85">
        <f t="shared" si="0"/>
        <v>3045.5021052631582</v>
      </c>
    </row>
    <row r="29" spans="1:5">
      <c r="A29" s="83">
        <v>23</v>
      </c>
      <c r="B29" s="84" t="s">
        <v>103</v>
      </c>
      <c r="C29" s="84">
        <v>52201</v>
      </c>
      <c r="D29" s="85">
        <v>1460</v>
      </c>
      <c r="E29" s="85">
        <f t="shared" si="0"/>
        <v>1473.8700000000001</v>
      </c>
    </row>
    <row r="30" spans="1:5">
      <c r="A30" s="83">
        <v>24</v>
      </c>
      <c r="B30" s="84" t="s">
        <v>41</v>
      </c>
      <c r="C30" s="84">
        <v>52202</v>
      </c>
      <c r="D30" s="85">
        <v>8443.1578947368416</v>
      </c>
      <c r="E30" s="85">
        <f t="shared" si="0"/>
        <v>8523.3678947368426</v>
      </c>
    </row>
    <row r="31" spans="1:5">
      <c r="A31" s="84"/>
      <c r="B31" s="86" t="s">
        <v>10</v>
      </c>
      <c r="C31" s="87"/>
      <c r="D31" s="88">
        <f>SUM(D7:D30)</f>
        <v>323715.78947368416</v>
      </c>
      <c r="E31" s="88">
        <f>SUM(E7:E30)</f>
        <v>326791.08947368426</v>
      </c>
    </row>
  </sheetData>
  <mergeCells count="4">
    <mergeCell ref="A3:E3"/>
    <mergeCell ref="A1:B1"/>
    <mergeCell ref="A2:B2"/>
    <mergeCell ref="D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R41"/>
  <sheetViews>
    <sheetView topLeftCell="A4" zoomScaleNormal="100" workbookViewId="0">
      <selection activeCell="G12" sqref="G12"/>
    </sheetView>
  </sheetViews>
  <sheetFormatPr defaultColWidth="9" defaultRowHeight="15.5"/>
  <cols>
    <col min="1" max="1" width="3.36328125" style="43" bestFit="1" customWidth="1"/>
    <col min="2" max="2" width="26.54296875" style="25" customWidth="1"/>
    <col min="3" max="4" width="8.81640625" style="25" customWidth="1"/>
    <col min="5" max="5" width="7.453125" style="20" bestFit="1" customWidth="1"/>
    <col min="6" max="6" width="8.6328125" style="20" bestFit="1" customWidth="1"/>
    <col min="7" max="8" width="7.453125" style="20" bestFit="1" customWidth="1"/>
    <col min="9" max="11" width="6.81640625" style="20" customWidth="1"/>
    <col min="12" max="12" width="7.26953125" style="20" customWidth="1"/>
    <col min="13" max="13" width="7.54296875" style="27" customWidth="1"/>
    <col min="14" max="14" width="7.36328125" style="27" customWidth="1"/>
    <col min="15" max="15" width="7.36328125" style="20" customWidth="1"/>
    <col min="16" max="16384" width="9" style="25"/>
  </cols>
  <sheetData>
    <row r="1" spans="1:18" ht="17.5">
      <c r="A1" s="18" t="s">
        <v>47</v>
      </c>
      <c r="B1" s="19"/>
      <c r="C1" s="19"/>
      <c r="D1" s="19"/>
      <c r="L1" s="21"/>
      <c r="M1" s="22"/>
      <c r="N1" s="23"/>
      <c r="O1" s="24"/>
    </row>
    <row r="2" spans="1:18">
      <c r="A2" s="266"/>
      <c r="B2" s="266"/>
      <c r="C2" s="46"/>
      <c r="D2" s="46"/>
      <c r="L2" s="26"/>
    </row>
    <row r="3" spans="1:18" ht="17.5">
      <c r="A3" s="267" t="s">
        <v>48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</row>
    <row r="4" spans="1:18" ht="18.75" customHeight="1">
      <c r="A4" s="268" t="s">
        <v>49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8" s="28" customFormat="1" ht="18.75" customHeight="1">
      <c r="A5" s="269"/>
      <c r="B5" s="269"/>
      <c r="C5" s="269"/>
      <c r="D5" s="269"/>
      <c r="E5" s="269"/>
      <c r="F5" s="269"/>
      <c r="G5" s="269"/>
      <c r="H5" s="269"/>
      <c r="I5" s="270"/>
      <c r="J5" s="270"/>
      <c r="K5" s="270"/>
      <c r="L5" s="271"/>
      <c r="M5" s="271"/>
      <c r="N5" s="271"/>
      <c r="O5" s="271"/>
    </row>
    <row r="6" spans="1:18" ht="22.5" customHeight="1">
      <c r="A6" s="272" t="s">
        <v>50</v>
      </c>
      <c r="B6" s="272" t="s">
        <v>51</v>
      </c>
      <c r="C6" s="284" t="s">
        <v>52</v>
      </c>
      <c r="D6" s="285"/>
      <c r="E6" s="285"/>
      <c r="F6" s="285"/>
      <c r="G6" s="285"/>
      <c r="H6" s="286"/>
      <c r="I6" s="275" t="s">
        <v>53</v>
      </c>
      <c r="J6" s="276"/>
      <c r="K6" s="277"/>
      <c r="L6" s="281" t="s">
        <v>54</v>
      </c>
      <c r="M6" s="281"/>
      <c r="N6" s="281"/>
      <c r="O6" s="281"/>
      <c r="P6" s="275" t="s">
        <v>55</v>
      </c>
      <c r="Q6" s="276"/>
      <c r="R6" s="277"/>
    </row>
    <row r="7" spans="1:18" ht="36.75" customHeight="1">
      <c r="A7" s="273"/>
      <c r="B7" s="274"/>
      <c r="C7" s="282" t="s">
        <v>65</v>
      </c>
      <c r="D7" s="282" t="s">
        <v>64</v>
      </c>
      <c r="E7" s="282" t="s">
        <v>56</v>
      </c>
      <c r="F7" s="287" t="s">
        <v>57</v>
      </c>
      <c r="G7" s="288"/>
      <c r="H7" s="289"/>
      <c r="I7" s="278"/>
      <c r="J7" s="279"/>
      <c r="K7" s="280"/>
      <c r="L7" s="282" t="s">
        <v>56</v>
      </c>
      <c r="M7" s="287" t="s">
        <v>57</v>
      </c>
      <c r="N7" s="288"/>
      <c r="O7" s="289"/>
      <c r="P7" s="278"/>
      <c r="Q7" s="279"/>
      <c r="R7" s="280"/>
    </row>
    <row r="8" spans="1:18" ht="66" customHeight="1">
      <c r="A8" s="273"/>
      <c r="B8" s="274"/>
      <c r="C8" s="283"/>
      <c r="D8" s="283"/>
      <c r="E8" s="283"/>
      <c r="F8" s="29" t="s">
        <v>58</v>
      </c>
      <c r="G8" s="29" t="s">
        <v>59</v>
      </c>
      <c r="H8" s="29" t="s">
        <v>60</v>
      </c>
      <c r="I8" s="29" t="s">
        <v>58</v>
      </c>
      <c r="J8" s="29" t="s">
        <v>59</v>
      </c>
      <c r="K8" s="29" t="s">
        <v>60</v>
      </c>
      <c r="L8" s="283"/>
      <c r="M8" s="29" t="s">
        <v>58</v>
      </c>
      <c r="N8" s="29" t="s">
        <v>59</v>
      </c>
      <c r="O8" s="29" t="s">
        <v>60</v>
      </c>
      <c r="P8" s="29" t="s">
        <v>58</v>
      </c>
      <c r="Q8" s="29" t="s">
        <v>59</v>
      </c>
      <c r="R8" s="29" t="s">
        <v>60</v>
      </c>
    </row>
    <row r="9" spans="1:18" s="34" customFormat="1" ht="15">
      <c r="A9" s="30" t="s">
        <v>0</v>
      </c>
      <c r="B9" s="31" t="s">
        <v>61</v>
      </c>
      <c r="C9" s="32">
        <f t="shared" ref="C9:D9" si="0">SUM(C10:C11)</f>
        <v>1380531</v>
      </c>
      <c r="D9" s="32">
        <f t="shared" si="0"/>
        <v>1435001</v>
      </c>
      <c r="E9" s="32">
        <f>SUM(E10:E11)</f>
        <v>1416386.8285714285</v>
      </c>
      <c r="F9" s="32">
        <f t="shared" ref="F9:H9" si="1">SUM(F10:F11)</f>
        <v>1429772.1958517428</v>
      </c>
      <c r="G9" s="32">
        <f t="shared" si="1"/>
        <v>1443949.554278034</v>
      </c>
      <c r="H9" s="32">
        <f t="shared" si="1"/>
        <v>1459079</v>
      </c>
      <c r="I9" s="32">
        <f>SUM(I10:I11)</f>
        <v>13385.367280314211</v>
      </c>
      <c r="J9" s="32">
        <f t="shared" ref="J9:K9" si="2">SUM(J10:J11)</f>
        <v>14177.358426291263</v>
      </c>
      <c r="K9" s="32">
        <f t="shared" si="2"/>
        <v>15129.445721965982</v>
      </c>
      <c r="L9" s="32">
        <v>1318052.6478779449</v>
      </c>
      <c r="M9" s="33">
        <v>1339209.7729118099</v>
      </c>
      <c r="N9" s="33">
        <v>1367348.2067997239</v>
      </c>
      <c r="O9" s="32">
        <v>1396239</v>
      </c>
      <c r="P9" s="32">
        <f>SUM(P10:P11)</f>
        <v>21157.125033864984</v>
      </c>
      <c r="Q9" s="32">
        <f t="shared" ref="Q9:R9" si="3">SUM(Q10:Q11)</f>
        <v>28138.433887914056</v>
      </c>
      <c r="R9" s="32">
        <f t="shared" si="3"/>
        <v>28890.793200276094</v>
      </c>
    </row>
    <row r="10" spans="1:18" s="34" customFormat="1" ht="15">
      <c r="A10" s="35">
        <v>1</v>
      </c>
      <c r="B10" s="36" t="s">
        <v>62</v>
      </c>
      <c r="C10" s="48">
        <v>1380531</v>
      </c>
      <c r="D10" s="36">
        <v>1435001</v>
      </c>
      <c r="E10" s="37">
        <v>1416386.8285714285</v>
      </c>
      <c r="F10" s="37">
        <v>1429772.1958517428</v>
      </c>
      <c r="G10" s="37">
        <v>1443949.554278034</v>
      </c>
      <c r="H10" s="37">
        <v>1459079</v>
      </c>
      <c r="I10" s="37">
        <f>F10-E10</f>
        <v>13385.367280314211</v>
      </c>
      <c r="J10" s="37">
        <f t="shared" ref="J10:K10" si="4">G10-F10</f>
        <v>14177.358426291263</v>
      </c>
      <c r="K10" s="37">
        <f t="shared" si="4"/>
        <v>15129.445721965982</v>
      </c>
      <c r="L10" s="37">
        <v>1317715.6478779449</v>
      </c>
      <c r="M10" s="38">
        <v>1338840.7729118099</v>
      </c>
      <c r="N10" s="38">
        <v>1366945.2067997239</v>
      </c>
      <c r="O10" s="37">
        <v>1395801</v>
      </c>
      <c r="P10" s="37">
        <f>M10-L10</f>
        <v>21125.125033864984</v>
      </c>
      <c r="Q10" s="37">
        <f t="shared" ref="Q10:R11" si="5">N10-M10</f>
        <v>28104.433887914056</v>
      </c>
      <c r="R10" s="37">
        <f t="shared" si="5"/>
        <v>28855.793200276094</v>
      </c>
    </row>
    <row r="11" spans="1:18" s="41" customFormat="1" ht="14">
      <c r="A11" s="35">
        <v>2</v>
      </c>
      <c r="B11" s="36" t="s">
        <v>63</v>
      </c>
      <c r="C11" s="36"/>
      <c r="D11" s="36"/>
      <c r="E11" s="39"/>
      <c r="F11" s="39"/>
      <c r="G11" s="39"/>
      <c r="H11" s="39"/>
      <c r="I11" s="39"/>
      <c r="J11" s="39"/>
      <c r="K11" s="39"/>
      <c r="L11" s="37">
        <v>337</v>
      </c>
      <c r="M11" s="40">
        <v>369</v>
      </c>
      <c r="N11" s="40">
        <v>403</v>
      </c>
      <c r="O11" s="39">
        <v>438</v>
      </c>
      <c r="P11" s="37">
        <f>M11-L11</f>
        <v>32</v>
      </c>
      <c r="Q11" s="37">
        <f t="shared" si="5"/>
        <v>34</v>
      </c>
      <c r="R11" s="37">
        <f t="shared" si="5"/>
        <v>35</v>
      </c>
    </row>
    <row r="12" spans="1:18">
      <c r="A12" s="25"/>
      <c r="E12" s="47"/>
      <c r="F12" s="47"/>
      <c r="G12" s="25"/>
      <c r="H12" s="25"/>
      <c r="I12" s="25"/>
      <c r="J12" s="47"/>
      <c r="K12" s="50"/>
      <c r="L12" s="25"/>
      <c r="M12" s="42"/>
      <c r="N12" s="42"/>
      <c r="O12" s="25"/>
    </row>
    <row r="13" spans="1:18">
      <c r="A13" s="25"/>
      <c r="E13" s="25"/>
      <c r="F13" s="79"/>
      <c r="G13" s="25"/>
      <c r="H13" s="25"/>
      <c r="I13" s="25"/>
      <c r="J13" s="25"/>
      <c r="K13" s="25"/>
      <c r="L13" s="25"/>
      <c r="M13" s="42"/>
      <c r="N13" s="42"/>
      <c r="O13" s="25"/>
    </row>
    <row r="14" spans="1:18">
      <c r="A14" s="25"/>
      <c r="E14" s="25"/>
      <c r="F14" s="25"/>
      <c r="G14" s="25"/>
      <c r="H14" s="25"/>
      <c r="I14" s="25"/>
      <c r="J14" s="25"/>
      <c r="K14" s="25"/>
      <c r="L14" s="25"/>
      <c r="M14" s="42"/>
      <c r="N14" s="42"/>
      <c r="O14" s="25"/>
    </row>
    <row r="15" spans="1:18">
      <c r="A15" s="25"/>
      <c r="E15" s="25"/>
      <c r="F15" s="25"/>
      <c r="G15" s="25"/>
      <c r="H15" s="25"/>
      <c r="I15" s="25"/>
      <c r="J15" s="25"/>
      <c r="K15" s="25"/>
      <c r="L15" s="25"/>
      <c r="M15" s="42"/>
      <c r="N15" s="42"/>
      <c r="O15" s="25"/>
    </row>
    <row r="16" spans="1:18">
      <c r="A16" s="25"/>
      <c r="E16" s="25"/>
      <c r="F16" s="25"/>
      <c r="G16" s="25"/>
      <c r="H16" s="25"/>
      <c r="I16" s="25"/>
      <c r="J16" s="25"/>
      <c r="K16" s="25"/>
      <c r="L16" s="25"/>
      <c r="M16" s="42"/>
      <c r="N16" s="42"/>
      <c r="O16" s="25"/>
    </row>
    <row r="17" spans="13:14" s="25" customFormat="1">
      <c r="M17" s="42"/>
      <c r="N17" s="42"/>
    </row>
    <row r="18" spans="13:14" s="25" customFormat="1">
      <c r="M18" s="42"/>
      <c r="N18" s="42"/>
    </row>
    <row r="19" spans="13:14" s="25" customFormat="1">
      <c r="M19" s="42"/>
      <c r="N19" s="42"/>
    </row>
    <row r="20" spans="13:14" s="25" customFormat="1">
      <c r="M20" s="42"/>
      <c r="N20" s="42"/>
    </row>
    <row r="21" spans="13:14" s="25" customFormat="1">
      <c r="M21" s="42"/>
      <c r="N21" s="42"/>
    </row>
    <row r="22" spans="13:14" s="25" customFormat="1">
      <c r="M22" s="42"/>
      <c r="N22" s="42"/>
    </row>
    <row r="23" spans="13:14" s="25" customFormat="1">
      <c r="M23" s="42"/>
      <c r="N23" s="42"/>
    </row>
    <row r="24" spans="13:14" s="25" customFormat="1">
      <c r="M24" s="42"/>
      <c r="N24" s="42"/>
    </row>
    <row r="25" spans="13:14" s="25" customFormat="1">
      <c r="M25" s="42"/>
      <c r="N25" s="42"/>
    </row>
    <row r="26" spans="13:14" s="25" customFormat="1">
      <c r="M26" s="42"/>
      <c r="N26" s="42"/>
    </row>
    <row r="27" spans="13:14" s="25" customFormat="1">
      <c r="M27" s="42"/>
      <c r="N27" s="42"/>
    </row>
    <row r="28" spans="13:14" s="25" customFormat="1">
      <c r="M28" s="42"/>
      <c r="N28" s="42"/>
    </row>
    <row r="29" spans="13:14" s="25" customFormat="1">
      <c r="M29" s="42"/>
      <c r="N29" s="42"/>
    </row>
    <row r="30" spans="13:14" s="25" customFormat="1">
      <c r="M30" s="42"/>
      <c r="N30" s="42"/>
    </row>
    <row r="31" spans="13:14" s="25" customFormat="1">
      <c r="M31" s="42"/>
      <c r="N31" s="42"/>
    </row>
    <row r="32" spans="13:14" s="25" customFormat="1">
      <c r="M32" s="42"/>
      <c r="N32" s="42"/>
    </row>
    <row r="33" spans="13:14" s="25" customFormat="1">
      <c r="M33" s="42"/>
      <c r="N33" s="42"/>
    </row>
    <row r="34" spans="13:14" s="25" customFormat="1">
      <c r="M34" s="42"/>
      <c r="N34" s="42"/>
    </row>
    <row r="35" spans="13:14" s="25" customFormat="1">
      <c r="M35" s="42"/>
      <c r="N35" s="42"/>
    </row>
    <row r="36" spans="13:14" s="25" customFormat="1">
      <c r="M36" s="42"/>
      <c r="N36" s="42"/>
    </row>
    <row r="37" spans="13:14" s="25" customFormat="1">
      <c r="M37" s="42"/>
      <c r="N37" s="42"/>
    </row>
    <row r="38" spans="13:14" s="25" customFormat="1">
      <c r="M38" s="42"/>
      <c r="N38" s="42"/>
    </row>
    <row r="39" spans="13:14" s="25" customFormat="1">
      <c r="M39" s="42"/>
      <c r="N39" s="42"/>
    </row>
    <row r="40" spans="13:14" s="25" customFormat="1">
      <c r="M40" s="42"/>
      <c r="N40" s="42"/>
    </row>
    <row r="41" spans="13:14" s="25" customFormat="1">
      <c r="M41" s="42"/>
      <c r="N41" s="42"/>
    </row>
  </sheetData>
  <mergeCells count="16">
    <mergeCell ref="A2:B2"/>
    <mergeCell ref="A3:R3"/>
    <mergeCell ref="A4:O4"/>
    <mergeCell ref="A5:O5"/>
    <mergeCell ref="A6:A8"/>
    <mergeCell ref="B6:B8"/>
    <mergeCell ref="I6:K7"/>
    <mergeCell ref="L6:O6"/>
    <mergeCell ref="P6:R7"/>
    <mergeCell ref="D7:D8"/>
    <mergeCell ref="C7:C8"/>
    <mergeCell ref="C6:H6"/>
    <mergeCell ref="E7:E8"/>
    <mergeCell ref="F7:H7"/>
    <mergeCell ref="L7:L8"/>
    <mergeCell ref="M7:O7"/>
  </mergeCells>
  <pageMargins left="0.19" right="0" top="0.36" bottom="0.34" header="7.8740157480315001E-2" footer="7.8740157480315001E-2"/>
  <pageSetup paperSize="9" scale="72" fitToWidth="0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0725-201A-498E-A265-8A5DD4DF30D4}">
  <dimension ref="A1:Y47"/>
  <sheetViews>
    <sheetView topLeftCell="C1" zoomScale="85" zoomScaleNormal="85" workbookViewId="0">
      <selection activeCell="I18" sqref="I18"/>
    </sheetView>
  </sheetViews>
  <sheetFormatPr defaultColWidth="9.1796875" defaultRowHeight="14"/>
  <cols>
    <col min="1" max="1" width="5" style="1" customWidth="1"/>
    <col min="2" max="2" width="30.453125" style="1" customWidth="1"/>
    <col min="3" max="3" width="6.7265625" style="1" bestFit="1" customWidth="1"/>
    <col min="4" max="4" width="7.1796875" style="1" bestFit="1" customWidth="1"/>
    <col min="5" max="5" width="7" style="1" customWidth="1"/>
    <col min="6" max="6" width="9" style="1" customWidth="1"/>
    <col min="7" max="7" width="7" style="1" customWidth="1"/>
    <col min="8" max="8" width="8.54296875" style="2" bestFit="1" customWidth="1"/>
    <col min="9" max="9" width="7.1796875" style="2" customWidth="1"/>
    <col min="10" max="16384" width="9.1796875" style="1"/>
  </cols>
  <sheetData>
    <row r="1" spans="1:25">
      <c r="A1" s="222" t="s">
        <v>3</v>
      </c>
      <c r="B1" s="222"/>
      <c r="C1" s="222"/>
      <c r="D1" s="222"/>
      <c r="S1" s="225" t="s">
        <v>248</v>
      </c>
      <c r="T1" s="225"/>
      <c r="U1" s="225"/>
    </row>
    <row r="2" spans="1:25">
      <c r="A2" s="223" t="s">
        <v>109</v>
      </c>
      <c r="B2" s="223"/>
      <c r="C2" s="223"/>
      <c r="D2" s="223"/>
    </row>
    <row r="3" spans="1:25">
      <c r="A3" s="224" t="s">
        <v>196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</row>
    <row r="4" spans="1:25" ht="15" customHeight="1">
      <c r="S4" s="226" t="s">
        <v>4</v>
      </c>
      <c r="T4" s="226"/>
      <c r="U4" s="226"/>
    </row>
    <row r="5" spans="1:25" ht="30" customHeight="1">
      <c r="A5" s="212" t="s">
        <v>5</v>
      </c>
      <c r="B5" s="215" t="s">
        <v>6</v>
      </c>
      <c r="C5" s="215" t="s">
        <v>7</v>
      </c>
      <c r="D5" s="218" t="s">
        <v>69</v>
      </c>
      <c r="E5" s="219"/>
      <c r="F5" s="219"/>
      <c r="G5" s="219"/>
      <c r="H5" s="219"/>
      <c r="I5" s="220"/>
      <c r="J5" s="218" t="s">
        <v>195</v>
      </c>
      <c r="K5" s="219"/>
      <c r="L5" s="219"/>
      <c r="M5" s="219"/>
      <c r="N5" s="219"/>
      <c r="O5" s="220"/>
      <c r="P5" s="218" t="s">
        <v>46</v>
      </c>
      <c r="Q5" s="219"/>
      <c r="R5" s="219"/>
      <c r="S5" s="219"/>
      <c r="T5" s="219"/>
      <c r="U5" s="220"/>
    </row>
    <row r="6" spans="1:25" ht="30" customHeight="1">
      <c r="A6" s="213"/>
      <c r="B6" s="216"/>
      <c r="C6" s="216"/>
      <c r="D6" s="210" t="s">
        <v>8</v>
      </c>
      <c r="E6" s="221"/>
      <c r="F6" s="210" t="s">
        <v>9</v>
      </c>
      <c r="G6" s="221"/>
      <c r="H6" s="210" t="s">
        <v>246</v>
      </c>
      <c r="I6" s="211"/>
      <c r="J6" s="210" t="s">
        <v>8</v>
      </c>
      <c r="K6" s="221"/>
      <c r="L6" s="210" t="s">
        <v>9</v>
      </c>
      <c r="M6" s="221"/>
      <c r="N6" s="210" t="s">
        <v>246</v>
      </c>
      <c r="O6" s="211"/>
      <c r="P6" s="210" t="s">
        <v>8</v>
      </c>
      <c r="Q6" s="221"/>
      <c r="R6" s="210" t="s">
        <v>9</v>
      </c>
      <c r="S6" s="221"/>
      <c r="T6" s="210" t="s">
        <v>246</v>
      </c>
      <c r="U6" s="211"/>
    </row>
    <row r="7" spans="1:25" ht="34.5" customHeight="1">
      <c r="A7" s="214"/>
      <c r="B7" s="214"/>
      <c r="C7" s="217"/>
      <c r="D7" s="4" t="s">
        <v>11</v>
      </c>
      <c r="E7" s="4" t="s">
        <v>12</v>
      </c>
      <c r="F7" s="4" t="s">
        <v>11</v>
      </c>
      <c r="G7" s="4" t="s">
        <v>12</v>
      </c>
      <c r="H7" s="5" t="s">
        <v>11</v>
      </c>
      <c r="I7" s="5" t="s">
        <v>12</v>
      </c>
      <c r="J7" s="4" t="s">
        <v>194</v>
      </c>
      <c r="K7" s="4" t="s">
        <v>12</v>
      </c>
      <c r="L7" s="4" t="s">
        <v>194</v>
      </c>
      <c r="M7" s="4" t="s">
        <v>12</v>
      </c>
      <c r="N7" s="5" t="s">
        <v>11</v>
      </c>
      <c r="O7" s="5" t="s">
        <v>12</v>
      </c>
      <c r="P7" s="4" t="s">
        <v>11</v>
      </c>
      <c r="Q7" s="4" t="s">
        <v>12</v>
      </c>
      <c r="R7" s="4" t="s">
        <v>11</v>
      </c>
      <c r="S7" s="4" t="s">
        <v>12</v>
      </c>
      <c r="T7" s="5" t="s">
        <v>11</v>
      </c>
      <c r="U7" s="5" t="s">
        <v>12</v>
      </c>
    </row>
    <row r="8" spans="1:25" ht="18" customHeight="1">
      <c r="A8" s="76" t="s">
        <v>2</v>
      </c>
      <c r="B8" s="76" t="s">
        <v>1</v>
      </c>
      <c r="C8" s="77" t="s">
        <v>112</v>
      </c>
      <c r="D8" s="4">
        <v>1</v>
      </c>
      <c r="E8" s="4">
        <v>2</v>
      </c>
      <c r="F8" s="4">
        <v>3</v>
      </c>
      <c r="G8" s="4">
        <v>4</v>
      </c>
      <c r="H8" s="5" t="s">
        <v>126</v>
      </c>
      <c r="I8" s="5" t="s">
        <v>127</v>
      </c>
      <c r="J8" s="4">
        <v>7</v>
      </c>
      <c r="K8" s="4">
        <v>8</v>
      </c>
      <c r="L8" s="4">
        <v>9</v>
      </c>
      <c r="M8" s="4">
        <v>10</v>
      </c>
      <c r="N8" s="5" t="s">
        <v>128</v>
      </c>
      <c r="O8" s="5" t="s">
        <v>129</v>
      </c>
      <c r="P8" s="4" t="s">
        <v>130</v>
      </c>
      <c r="Q8" s="4" t="s">
        <v>131</v>
      </c>
      <c r="R8" s="4" t="s">
        <v>132</v>
      </c>
      <c r="S8" s="4" t="s">
        <v>133</v>
      </c>
      <c r="T8" s="5" t="s">
        <v>134</v>
      </c>
      <c r="U8" s="5" t="s">
        <v>135</v>
      </c>
    </row>
    <row r="9" spans="1:25">
      <c r="A9" s="6">
        <v>1</v>
      </c>
      <c r="B9" s="7" t="s">
        <v>13</v>
      </c>
      <c r="C9" s="69" t="s">
        <v>70</v>
      </c>
      <c r="D9" s="8">
        <v>37269</v>
      </c>
      <c r="E9" s="8">
        <v>243417.12971181999</v>
      </c>
      <c r="F9" s="8">
        <v>93449</v>
      </c>
      <c r="G9" s="8">
        <v>61665.122785740001</v>
      </c>
      <c r="H9" s="9">
        <f t="shared" ref="H9:I24" si="0">+D9+F9</f>
        <v>130718</v>
      </c>
      <c r="I9" s="9">
        <f t="shared" si="0"/>
        <v>305082.25249756</v>
      </c>
      <c r="J9" s="44">
        <v>26137</v>
      </c>
      <c r="K9" s="44">
        <f>((E9/D9)*J9)*99.5%</f>
        <v>169856.51752613296</v>
      </c>
      <c r="L9" s="44">
        <v>63448</v>
      </c>
      <c r="M9" s="44">
        <f>((G9/F9)*L9)*99.5%</f>
        <v>41658.723656294693</v>
      </c>
      <c r="N9" s="9">
        <f t="shared" ref="N9:O24" si="1">+J9+L9</f>
        <v>89585</v>
      </c>
      <c r="O9" s="9">
        <f t="shared" si="1"/>
        <v>211515.24118242765</v>
      </c>
      <c r="P9" s="17">
        <f t="shared" ref="P9:P42" si="2">D9+J9</f>
        <v>63406</v>
      </c>
      <c r="Q9" s="17">
        <f t="shared" ref="Q9:Q42" si="3">E9+K9</f>
        <v>413273.64723795292</v>
      </c>
      <c r="R9" s="17">
        <f t="shared" ref="R9:R42" si="4">F9+L9</f>
        <v>156897</v>
      </c>
      <c r="S9" s="17">
        <f t="shared" ref="S9:S43" si="5">G9+M9</f>
        <v>103323.8464420347</v>
      </c>
      <c r="T9" s="9">
        <f>P9+R9</f>
        <v>220303</v>
      </c>
      <c r="U9" s="9">
        <f>Q9+S9</f>
        <v>516597.49367998762</v>
      </c>
      <c r="V9" s="45"/>
      <c r="W9" s="45"/>
      <c r="Y9" s="45"/>
    </row>
    <row r="10" spans="1:25">
      <c r="A10" s="6">
        <v>2</v>
      </c>
      <c r="B10" s="7" t="s">
        <v>14</v>
      </c>
      <c r="C10" s="69" t="s">
        <v>71</v>
      </c>
      <c r="D10" s="8">
        <v>8304</v>
      </c>
      <c r="E10" s="8">
        <v>22030.91747588</v>
      </c>
      <c r="F10" s="8">
        <v>86275</v>
      </c>
      <c r="G10" s="8">
        <v>16320.279741859998</v>
      </c>
      <c r="H10" s="9">
        <f t="shared" si="0"/>
        <v>94579</v>
      </c>
      <c r="I10" s="9">
        <f t="shared" si="0"/>
        <v>38351.197217740002</v>
      </c>
      <c r="J10" s="44">
        <v>6641</v>
      </c>
      <c r="K10" s="44">
        <f t="shared" ref="K10:K38" si="6">(E10/D10)*J10</f>
        <v>17618.897273280236</v>
      </c>
      <c r="L10" s="44">
        <v>57830</v>
      </c>
      <c r="M10" s="44">
        <f t="shared" ref="M10:M42" si="7">(G10/F10)*L10</f>
        <v>10939.458446499724</v>
      </c>
      <c r="N10" s="9">
        <f t="shared" si="1"/>
        <v>64471</v>
      </c>
      <c r="O10" s="9">
        <f t="shared" si="1"/>
        <v>28558.35571977996</v>
      </c>
      <c r="P10" s="17">
        <f t="shared" si="2"/>
        <v>14945</v>
      </c>
      <c r="Q10" s="17">
        <f t="shared" si="3"/>
        <v>39649.814749160236</v>
      </c>
      <c r="R10" s="17">
        <f t="shared" si="4"/>
        <v>144105</v>
      </c>
      <c r="S10" s="17">
        <f t="shared" si="5"/>
        <v>27259.738188359723</v>
      </c>
      <c r="T10" s="9">
        <f t="shared" ref="T10:U42" si="8">P10+R10</f>
        <v>159050</v>
      </c>
      <c r="U10" s="9">
        <f t="shared" si="8"/>
        <v>66909.552937519955</v>
      </c>
      <c r="V10" s="45"/>
      <c r="W10" s="45"/>
      <c r="Y10" s="45"/>
    </row>
    <row r="11" spans="1:25">
      <c r="A11" s="6">
        <v>3</v>
      </c>
      <c r="B11" s="7" t="s">
        <v>15</v>
      </c>
      <c r="C11" s="69" t="s">
        <v>72</v>
      </c>
      <c r="D11" s="8">
        <v>5009</v>
      </c>
      <c r="E11" s="8">
        <v>8488.2077828099991</v>
      </c>
      <c r="F11" s="8">
        <v>75657</v>
      </c>
      <c r="G11" s="8">
        <v>10051.93621505</v>
      </c>
      <c r="H11" s="9">
        <f t="shared" si="0"/>
        <v>80666</v>
      </c>
      <c r="I11" s="9">
        <f t="shared" si="0"/>
        <v>18540.143997859999</v>
      </c>
      <c r="J11" s="44">
        <v>4567</v>
      </c>
      <c r="K11" s="44">
        <f>((E11/D11)*J11)*99%</f>
        <v>7661.8064473252816</v>
      </c>
      <c r="L11" s="44">
        <v>51771</v>
      </c>
      <c r="M11" s="44">
        <f>((G11/F11)*L11)*99%</f>
        <v>6809.6118256269747</v>
      </c>
      <c r="N11" s="9">
        <f t="shared" si="1"/>
        <v>56338</v>
      </c>
      <c r="O11" s="9">
        <f t="shared" si="1"/>
        <v>14471.418272952256</v>
      </c>
      <c r="P11" s="17">
        <f t="shared" si="2"/>
        <v>9576</v>
      </c>
      <c r="Q11" s="17">
        <f t="shared" si="3"/>
        <v>16150.014230135281</v>
      </c>
      <c r="R11" s="17">
        <f t="shared" si="4"/>
        <v>127428</v>
      </c>
      <c r="S11" s="17">
        <f t="shared" si="5"/>
        <v>16861.548040676975</v>
      </c>
      <c r="T11" s="9">
        <f t="shared" si="8"/>
        <v>137004</v>
      </c>
      <c r="U11" s="9">
        <f t="shared" si="8"/>
        <v>33011.562270812254</v>
      </c>
      <c r="V11" s="45"/>
      <c r="W11" s="45"/>
      <c r="Y11" s="45"/>
    </row>
    <row r="12" spans="1:25">
      <c r="A12" s="6">
        <v>4</v>
      </c>
      <c r="B12" s="7" t="s">
        <v>16</v>
      </c>
      <c r="C12" s="69" t="s">
        <v>73</v>
      </c>
      <c r="D12" s="8">
        <v>8093</v>
      </c>
      <c r="E12" s="8">
        <v>13034.748705630001</v>
      </c>
      <c r="F12" s="8">
        <v>78181</v>
      </c>
      <c r="G12" s="8">
        <v>9432.4216191299984</v>
      </c>
      <c r="H12" s="9">
        <f t="shared" si="0"/>
        <v>86274</v>
      </c>
      <c r="I12" s="9">
        <f t="shared" si="0"/>
        <v>22467.170324760002</v>
      </c>
      <c r="J12" s="44">
        <v>8961</v>
      </c>
      <c r="K12" s="44">
        <f>((E12/D12)*J12)*99%</f>
        <v>14288.439307999375</v>
      </c>
      <c r="L12" s="44">
        <v>61248</v>
      </c>
      <c r="M12" s="44">
        <f t="shared" ref="M12:M17" si="9">((G12/F12)*L12)*99%</f>
        <v>7315.5854969262273</v>
      </c>
      <c r="N12" s="9">
        <f t="shared" si="1"/>
        <v>70209</v>
      </c>
      <c r="O12" s="9">
        <f t="shared" si="1"/>
        <v>21604.024804925604</v>
      </c>
      <c r="P12" s="17">
        <f t="shared" si="2"/>
        <v>17054</v>
      </c>
      <c r="Q12" s="17">
        <f t="shared" si="3"/>
        <v>27323.188013629377</v>
      </c>
      <c r="R12" s="17">
        <f t="shared" si="4"/>
        <v>139429</v>
      </c>
      <c r="S12" s="17">
        <f t="shared" si="5"/>
        <v>16748.007116056226</v>
      </c>
      <c r="T12" s="9">
        <f t="shared" si="8"/>
        <v>156483</v>
      </c>
      <c r="U12" s="9">
        <f t="shared" si="8"/>
        <v>44071.195129685599</v>
      </c>
      <c r="V12" s="45"/>
      <c r="W12" s="45"/>
      <c r="Y12" s="45"/>
    </row>
    <row r="13" spans="1:25">
      <c r="A13" s="6">
        <v>5</v>
      </c>
      <c r="B13" s="7" t="s">
        <v>17</v>
      </c>
      <c r="C13" s="69" t="s">
        <v>74</v>
      </c>
      <c r="D13" s="8">
        <v>4948</v>
      </c>
      <c r="E13" s="8">
        <v>9953.1028552400021</v>
      </c>
      <c r="F13" s="8">
        <v>120235</v>
      </c>
      <c r="G13" s="8">
        <v>14783.398695610003</v>
      </c>
      <c r="H13" s="9">
        <f t="shared" si="0"/>
        <v>125183</v>
      </c>
      <c r="I13" s="9">
        <f t="shared" si="0"/>
        <v>24736.501550850007</v>
      </c>
      <c r="J13" s="44">
        <v>5046</v>
      </c>
      <c r="K13" s="44">
        <f>((E13/D13)*J13)*99%</f>
        <v>10048.731495041558</v>
      </c>
      <c r="L13" s="44">
        <v>86755</v>
      </c>
      <c r="M13" s="44">
        <f t="shared" si="9"/>
        <v>10560.223032388816</v>
      </c>
      <c r="N13" s="9">
        <f t="shared" si="1"/>
        <v>91801</v>
      </c>
      <c r="O13" s="9">
        <f t="shared" si="1"/>
        <v>20608.954527430375</v>
      </c>
      <c r="P13" s="17">
        <f t="shared" si="2"/>
        <v>9994</v>
      </c>
      <c r="Q13" s="17">
        <f t="shared" si="3"/>
        <v>20001.834350281562</v>
      </c>
      <c r="R13" s="17">
        <f t="shared" si="4"/>
        <v>206990</v>
      </c>
      <c r="S13" s="17">
        <f t="shared" si="5"/>
        <v>25343.62172799882</v>
      </c>
      <c r="T13" s="9">
        <f t="shared" si="8"/>
        <v>216984</v>
      </c>
      <c r="U13" s="9">
        <f t="shared" si="8"/>
        <v>45345.456078280382</v>
      </c>
      <c r="V13" s="45"/>
      <c r="W13" s="45"/>
      <c r="Y13" s="45"/>
    </row>
    <row r="14" spans="1:25">
      <c r="A14" s="6">
        <v>6</v>
      </c>
      <c r="B14" s="7" t="s">
        <v>18</v>
      </c>
      <c r="C14" s="69" t="s">
        <v>75</v>
      </c>
      <c r="D14" s="8">
        <v>3896</v>
      </c>
      <c r="E14" s="8">
        <v>6441.3158334199998</v>
      </c>
      <c r="F14" s="8">
        <v>71033</v>
      </c>
      <c r="G14" s="8">
        <v>9082.3168094499997</v>
      </c>
      <c r="H14" s="9">
        <f t="shared" si="0"/>
        <v>74929</v>
      </c>
      <c r="I14" s="9">
        <f t="shared" si="0"/>
        <v>15523.632642869999</v>
      </c>
      <c r="J14" s="44">
        <v>3853</v>
      </c>
      <c r="K14" s="44">
        <f t="shared" si="6"/>
        <v>6370.223281870446</v>
      </c>
      <c r="L14" s="44">
        <v>50927</v>
      </c>
      <c r="M14" s="44">
        <f t="shared" si="7"/>
        <v>6511.553054986558</v>
      </c>
      <c r="N14" s="9">
        <f t="shared" si="1"/>
        <v>54780</v>
      </c>
      <c r="O14" s="9">
        <f t="shared" si="1"/>
        <v>12881.776336857005</v>
      </c>
      <c r="P14" s="17">
        <f t="shared" si="2"/>
        <v>7749</v>
      </c>
      <c r="Q14" s="17">
        <f t="shared" si="3"/>
        <v>12811.539115290445</v>
      </c>
      <c r="R14" s="17">
        <f t="shared" si="4"/>
        <v>121960</v>
      </c>
      <c r="S14" s="17">
        <f t="shared" si="5"/>
        <v>15593.869864436558</v>
      </c>
      <c r="T14" s="9">
        <f t="shared" si="8"/>
        <v>129709</v>
      </c>
      <c r="U14" s="9">
        <f t="shared" si="8"/>
        <v>28405.408979727003</v>
      </c>
      <c r="V14" s="45"/>
      <c r="W14" s="45"/>
      <c r="Y14" s="45"/>
    </row>
    <row r="15" spans="1:25">
      <c r="A15" s="6">
        <v>7</v>
      </c>
      <c r="B15" s="7" t="s">
        <v>19</v>
      </c>
      <c r="C15" s="69" t="s">
        <v>77</v>
      </c>
      <c r="D15" s="8">
        <v>3560</v>
      </c>
      <c r="E15" s="8">
        <v>6902.8258405399993</v>
      </c>
      <c r="F15" s="8">
        <v>39226</v>
      </c>
      <c r="G15" s="8">
        <v>4402.5160232200005</v>
      </c>
      <c r="H15" s="9">
        <f t="shared" si="0"/>
        <v>42786</v>
      </c>
      <c r="I15" s="9">
        <f t="shared" si="0"/>
        <v>11305.341863760001</v>
      </c>
      <c r="J15" s="44">
        <v>3304</v>
      </c>
      <c r="K15" s="44">
        <f>((E15/D15)*J15)*99%</f>
        <v>6342.3784301608757</v>
      </c>
      <c r="L15" s="44">
        <v>31106</v>
      </c>
      <c r="M15" s="44">
        <f t="shared" si="9"/>
        <v>3456.2590318691309</v>
      </c>
      <c r="N15" s="9">
        <f t="shared" si="1"/>
        <v>34410</v>
      </c>
      <c r="O15" s="9">
        <f t="shared" si="1"/>
        <v>9798.6374620300066</v>
      </c>
      <c r="P15" s="17">
        <f t="shared" si="2"/>
        <v>6864</v>
      </c>
      <c r="Q15" s="17">
        <f t="shared" si="3"/>
        <v>13245.204270700875</v>
      </c>
      <c r="R15" s="17">
        <f t="shared" si="4"/>
        <v>70332</v>
      </c>
      <c r="S15" s="17">
        <f t="shared" si="5"/>
        <v>7858.7750550891315</v>
      </c>
      <c r="T15" s="9">
        <f t="shared" si="8"/>
        <v>77196</v>
      </c>
      <c r="U15" s="9">
        <f t="shared" si="8"/>
        <v>21103.979325790006</v>
      </c>
      <c r="V15" s="45"/>
      <c r="W15" s="45"/>
      <c r="Y15" s="45"/>
    </row>
    <row r="16" spans="1:25">
      <c r="A16" s="6">
        <v>8</v>
      </c>
      <c r="B16" s="7" t="s">
        <v>20</v>
      </c>
      <c r="C16" s="69" t="s">
        <v>78</v>
      </c>
      <c r="D16" s="8">
        <v>3191</v>
      </c>
      <c r="E16" s="8">
        <v>5422.5211195099992</v>
      </c>
      <c r="F16" s="8">
        <v>36111</v>
      </c>
      <c r="G16" s="8">
        <v>4631.5899712200007</v>
      </c>
      <c r="H16" s="9">
        <f t="shared" si="0"/>
        <v>39302</v>
      </c>
      <c r="I16" s="9">
        <f t="shared" si="0"/>
        <v>10054.111090729999</v>
      </c>
      <c r="J16" s="44">
        <v>2747</v>
      </c>
      <c r="K16" s="44">
        <f t="shared" ref="K16:K17" si="10">((E16/D16)*J16)*99%</f>
        <v>4621.3440489316918</v>
      </c>
      <c r="L16" s="44">
        <v>27419</v>
      </c>
      <c r="M16" s="44">
        <f t="shared" si="9"/>
        <v>3481.5881522713962</v>
      </c>
      <c r="N16" s="9">
        <f t="shared" si="1"/>
        <v>30166</v>
      </c>
      <c r="O16" s="9">
        <f t="shared" si="1"/>
        <v>8102.932201203088</v>
      </c>
      <c r="P16" s="17">
        <f t="shared" si="2"/>
        <v>5938</v>
      </c>
      <c r="Q16" s="17">
        <f t="shared" si="3"/>
        <v>10043.865168441691</v>
      </c>
      <c r="R16" s="17">
        <f t="shared" si="4"/>
        <v>63530</v>
      </c>
      <c r="S16" s="17">
        <f t="shared" si="5"/>
        <v>8113.1781234913969</v>
      </c>
      <c r="T16" s="9">
        <f t="shared" si="8"/>
        <v>69468</v>
      </c>
      <c r="U16" s="9">
        <f t="shared" si="8"/>
        <v>18157.043291933089</v>
      </c>
      <c r="V16" s="45"/>
      <c r="W16" s="45"/>
      <c r="Y16" s="45"/>
    </row>
    <row r="17" spans="1:25">
      <c r="A17" s="6">
        <v>9</v>
      </c>
      <c r="B17" s="7" t="s">
        <v>21</v>
      </c>
      <c r="C17" s="69" t="s">
        <v>79</v>
      </c>
      <c r="D17" s="8">
        <v>4848</v>
      </c>
      <c r="E17" s="8">
        <v>7832.1118308100004</v>
      </c>
      <c r="F17" s="8">
        <v>61862</v>
      </c>
      <c r="G17" s="8">
        <v>10750.458784290002</v>
      </c>
      <c r="H17" s="9">
        <f t="shared" si="0"/>
        <v>66710</v>
      </c>
      <c r="I17" s="9">
        <f t="shared" si="0"/>
        <v>18582.570615100001</v>
      </c>
      <c r="J17" s="44">
        <v>6049</v>
      </c>
      <c r="K17" s="44">
        <f t="shared" si="10"/>
        <v>9674.6452186311872</v>
      </c>
      <c r="L17" s="44">
        <v>39395</v>
      </c>
      <c r="M17" s="44">
        <f t="shared" si="9"/>
        <v>6777.6531726913699</v>
      </c>
      <c r="N17" s="9">
        <f t="shared" si="1"/>
        <v>45444</v>
      </c>
      <c r="O17" s="9">
        <f t="shared" si="1"/>
        <v>16452.298391322558</v>
      </c>
      <c r="P17" s="17">
        <f t="shared" si="2"/>
        <v>10897</v>
      </c>
      <c r="Q17" s="17">
        <f t="shared" si="3"/>
        <v>17506.757049441188</v>
      </c>
      <c r="R17" s="17">
        <f t="shared" si="4"/>
        <v>101257</v>
      </c>
      <c r="S17" s="17">
        <f t="shared" si="5"/>
        <v>17528.111956981371</v>
      </c>
      <c r="T17" s="9">
        <f t="shared" si="8"/>
        <v>112154</v>
      </c>
      <c r="U17" s="9">
        <f t="shared" si="8"/>
        <v>35034.869006422559</v>
      </c>
      <c r="V17" s="45"/>
      <c r="W17" s="45"/>
      <c r="Y17" s="45"/>
    </row>
    <row r="18" spans="1:25">
      <c r="A18" s="6">
        <v>10</v>
      </c>
      <c r="B18" s="7" t="s">
        <v>22</v>
      </c>
      <c r="C18" s="69" t="s">
        <v>80</v>
      </c>
      <c r="D18" s="8">
        <v>1204</v>
      </c>
      <c r="E18" s="8">
        <v>1588.41124261</v>
      </c>
      <c r="F18" s="8">
        <v>16178</v>
      </c>
      <c r="G18" s="8">
        <v>2029.1682614999997</v>
      </c>
      <c r="H18" s="9">
        <f t="shared" si="0"/>
        <v>17382</v>
      </c>
      <c r="I18" s="9">
        <f t="shared" si="0"/>
        <v>3617.57950411</v>
      </c>
      <c r="J18" s="44">
        <v>1027</v>
      </c>
      <c r="K18" s="44">
        <f t="shared" si="6"/>
        <v>1354.8989586050416</v>
      </c>
      <c r="L18" s="44">
        <v>12226</v>
      </c>
      <c r="M18" s="44">
        <f t="shared" si="7"/>
        <v>1533.4782522622695</v>
      </c>
      <c r="N18" s="9">
        <f t="shared" si="1"/>
        <v>13253</v>
      </c>
      <c r="O18" s="9">
        <f t="shared" si="1"/>
        <v>2888.3772108673111</v>
      </c>
      <c r="P18" s="17">
        <f t="shared" si="2"/>
        <v>2231</v>
      </c>
      <c r="Q18" s="17">
        <f t="shared" si="3"/>
        <v>2943.3102012150416</v>
      </c>
      <c r="R18" s="17">
        <f t="shared" si="4"/>
        <v>28404</v>
      </c>
      <c r="S18" s="17">
        <f t="shared" si="5"/>
        <v>3562.646513762269</v>
      </c>
      <c r="T18" s="9">
        <f t="shared" si="8"/>
        <v>30635</v>
      </c>
      <c r="U18" s="9">
        <f t="shared" si="8"/>
        <v>6505.9567149773102</v>
      </c>
      <c r="V18" s="45"/>
      <c r="W18" s="45"/>
      <c r="Y18" s="45"/>
    </row>
    <row r="19" spans="1:25">
      <c r="A19" s="6">
        <v>11</v>
      </c>
      <c r="B19" s="7" t="s">
        <v>23</v>
      </c>
      <c r="C19" s="69" t="s">
        <v>81</v>
      </c>
      <c r="D19" s="8">
        <v>3106</v>
      </c>
      <c r="E19" s="8">
        <v>4985.4621710000001</v>
      </c>
      <c r="F19" s="8">
        <v>30550</v>
      </c>
      <c r="G19" s="8">
        <v>3829.7994141099998</v>
      </c>
      <c r="H19" s="9">
        <f t="shared" si="0"/>
        <v>33656</v>
      </c>
      <c r="I19" s="9">
        <f t="shared" si="0"/>
        <v>8815.2615851099999</v>
      </c>
      <c r="J19" s="44">
        <v>2643</v>
      </c>
      <c r="K19" s="44">
        <f t="shared" si="6"/>
        <v>4242.2976554903416</v>
      </c>
      <c r="L19" s="44">
        <v>21710</v>
      </c>
      <c r="M19" s="44">
        <f t="shared" si="7"/>
        <v>2721.6021368356169</v>
      </c>
      <c r="N19" s="9">
        <f t="shared" si="1"/>
        <v>24353</v>
      </c>
      <c r="O19" s="9">
        <f t="shared" si="1"/>
        <v>6963.8997923259585</v>
      </c>
      <c r="P19" s="17">
        <f t="shared" si="2"/>
        <v>5749</v>
      </c>
      <c r="Q19" s="17">
        <f t="shared" si="3"/>
        <v>9227.7598264903427</v>
      </c>
      <c r="R19" s="17">
        <f t="shared" si="4"/>
        <v>52260</v>
      </c>
      <c r="S19" s="17">
        <f t="shared" si="5"/>
        <v>6551.4015509456167</v>
      </c>
      <c r="T19" s="9">
        <f t="shared" si="8"/>
        <v>58009</v>
      </c>
      <c r="U19" s="9">
        <f t="shared" si="8"/>
        <v>15779.161377435959</v>
      </c>
      <c r="V19" s="45"/>
      <c r="W19" s="45"/>
      <c r="Y19" s="45"/>
    </row>
    <row r="20" spans="1:25">
      <c r="A20" s="6">
        <v>12</v>
      </c>
      <c r="B20" s="7" t="s">
        <v>24</v>
      </c>
      <c r="C20" s="69" t="s">
        <v>82</v>
      </c>
      <c r="D20" s="8">
        <v>1548</v>
      </c>
      <c r="E20" s="8">
        <v>1958.9302894800001</v>
      </c>
      <c r="F20" s="8">
        <v>12996</v>
      </c>
      <c r="G20" s="8">
        <v>2062.6284561900002</v>
      </c>
      <c r="H20" s="9">
        <f t="shared" si="0"/>
        <v>14544</v>
      </c>
      <c r="I20" s="9">
        <f t="shared" si="0"/>
        <v>4021.5587456700005</v>
      </c>
      <c r="J20" s="44">
        <v>1723</v>
      </c>
      <c r="K20" s="44">
        <f t="shared" si="6"/>
        <v>2180.3855870633333</v>
      </c>
      <c r="L20" s="44">
        <v>10436</v>
      </c>
      <c r="M20" s="44">
        <f t="shared" si="7"/>
        <v>1656.3242973837212</v>
      </c>
      <c r="N20" s="9">
        <f t="shared" si="1"/>
        <v>12159</v>
      </c>
      <c r="O20" s="9">
        <f t="shared" si="1"/>
        <v>3836.7098844470547</v>
      </c>
      <c r="P20" s="17">
        <f t="shared" si="2"/>
        <v>3271</v>
      </c>
      <c r="Q20" s="17">
        <f t="shared" si="3"/>
        <v>4139.3158765433336</v>
      </c>
      <c r="R20" s="17">
        <f t="shared" si="4"/>
        <v>23432</v>
      </c>
      <c r="S20" s="17">
        <f t="shared" si="5"/>
        <v>3718.9527535737216</v>
      </c>
      <c r="T20" s="9">
        <f t="shared" si="8"/>
        <v>26703</v>
      </c>
      <c r="U20" s="9">
        <f t="shared" si="8"/>
        <v>7858.2686301170552</v>
      </c>
      <c r="V20" s="45"/>
      <c r="W20" s="45"/>
      <c r="Y20" s="45"/>
    </row>
    <row r="21" spans="1:25">
      <c r="A21" s="6">
        <v>13</v>
      </c>
      <c r="B21" s="7" t="s">
        <v>25</v>
      </c>
      <c r="C21" s="69" t="s">
        <v>83</v>
      </c>
      <c r="D21" s="8">
        <v>13916</v>
      </c>
      <c r="E21" s="8">
        <v>34953.388874069999</v>
      </c>
      <c r="F21" s="8">
        <v>72046</v>
      </c>
      <c r="G21" s="8">
        <v>12340.668983850001</v>
      </c>
      <c r="H21" s="9">
        <f t="shared" si="0"/>
        <v>85962</v>
      </c>
      <c r="I21" s="9">
        <f t="shared" si="0"/>
        <v>47294.057857920001</v>
      </c>
      <c r="J21" s="44">
        <v>11891</v>
      </c>
      <c r="K21" s="44">
        <f>((E21/D21)*J21)*98%</f>
        <v>29269.770922645515</v>
      </c>
      <c r="L21" s="44">
        <v>52743</v>
      </c>
      <c r="M21" s="44">
        <f>((G21/F21)*L21)*98%</f>
        <v>8853.5966761637919</v>
      </c>
      <c r="N21" s="9">
        <f t="shared" si="1"/>
        <v>64634</v>
      </c>
      <c r="O21" s="9">
        <f t="shared" si="1"/>
        <v>38123.367598809309</v>
      </c>
      <c r="P21" s="17">
        <f t="shared" si="2"/>
        <v>25807</v>
      </c>
      <c r="Q21" s="17">
        <f t="shared" si="3"/>
        <v>64223.15979671551</v>
      </c>
      <c r="R21" s="17">
        <f t="shared" si="4"/>
        <v>124789</v>
      </c>
      <c r="S21" s="17">
        <f t="shared" si="5"/>
        <v>21194.265660013793</v>
      </c>
      <c r="T21" s="9">
        <f t="shared" si="8"/>
        <v>150596</v>
      </c>
      <c r="U21" s="9">
        <f t="shared" si="8"/>
        <v>85417.42545672931</v>
      </c>
      <c r="V21" s="45"/>
      <c r="W21" s="45"/>
      <c r="Y21" s="45"/>
    </row>
    <row r="22" spans="1:25">
      <c r="A22" s="6">
        <v>14</v>
      </c>
      <c r="B22" s="7" t="s">
        <v>26</v>
      </c>
      <c r="C22" s="69" t="s">
        <v>84</v>
      </c>
      <c r="D22" s="8">
        <v>1129</v>
      </c>
      <c r="E22" s="8">
        <v>3445.9114665800003</v>
      </c>
      <c r="F22" s="8">
        <v>3444</v>
      </c>
      <c r="G22" s="8">
        <v>741.98380614999996</v>
      </c>
      <c r="H22" s="9">
        <f t="shared" si="0"/>
        <v>4573</v>
      </c>
      <c r="I22" s="9">
        <f t="shared" si="0"/>
        <v>4187.8952727300002</v>
      </c>
      <c r="J22" s="44">
        <v>727</v>
      </c>
      <c r="K22" s="44">
        <f t="shared" si="6"/>
        <v>2218.9350187809214</v>
      </c>
      <c r="L22" s="44">
        <v>2833</v>
      </c>
      <c r="M22" s="44">
        <f t="shared" si="7"/>
        <v>610.34846771862658</v>
      </c>
      <c r="N22" s="9">
        <f t="shared" si="1"/>
        <v>3560</v>
      </c>
      <c r="O22" s="9">
        <f t="shared" si="1"/>
        <v>2829.283486499548</v>
      </c>
      <c r="P22" s="17">
        <f t="shared" si="2"/>
        <v>1856</v>
      </c>
      <c r="Q22" s="17">
        <f t="shared" si="3"/>
        <v>5664.8464853609221</v>
      </c>
      <c r="R22" s="17">
        <f t="shared" si="4"/>
        <v>6277</v>
      </c>
      <c r="S22" s="17">
        <f t="shared" si="5"/>
        <v>1352.3322738686265</v>
      </c>
      <c r="T22" s="9">
        <f t="shared" si="8"/>
        <v>8133</v>
      </c>
      <c r="U22" s="9">
        <f t="shared" si="8"/>
        <v>7017.1787592295486</v>
      </c>
      <c r="V22" s="45"/>
      <c r="W22" s="45"/>
      <c r="Y22" s="45"/>
    </row>
    <row r="23" spans="1:25">
      <c r="A23" s="6">
        <v>15</v>
      </c>
      <c r="B23" s="7" t="s">
        <v>27</v>
      </c>
      <c r="C23" s="69" t="s">
        <v>85</v>
      </c>
      <c r="D23" s="8">
        <v>1473</v>
      </c>
      <c r="E23" s="8">
        <v>4717.5674844200003</v>
      </c>
      <c r="F23" s="8">
        <v>954</v>
      </c>
      <c r="G23" s="8">
        <v>169.31459961000002</v>
      </c>
      <c r="H23" s="9">
        <f t="shared" si="0"/>
        <v>2427</v>
      </c>
      <c r="I23" s="9">
        <f t="shared" si="0"/>
        <v>4886.8820840300004</v>
      </c>
      <c r="J23" s="44">
        <v>1028</v>
      </c>
      <c r="K23" s="44">
        <f t="shared" si="6"/>
        <v>3292.3688893304552</v>
      </c>
      <c r="L23" s="44">
        <v>692</v>
      </c>
      <c r="M23" s="44">
        <f t="shared" si="7"/>
        <v>122.8152022328302</v>
      </c>
      <c r="N23" s="9">
        <f t="shared" si="1"/>
        <v>1720</v>
      </c>
      <c r="O23" s="9">
        <f t="shared" si="1"/>
        <v>3415.1840915632856</v>
      </c>
      <c r="P23" s="17">
        <f t="shared" si="2"/>
        <v>2501</v>
      </c>
      <c r="Q23" s="17">
        <f t="shared" si="3"/>
        <v>8009.9363737504555</v>
      </c>
      <c r="R23" s="17">
        <f t="shared" si="4"/>
        <v>1646</v>
      </c>
      <c r="S23" s="17">
        <f t="shared" si="5"/>
        <v>292.1298018428302</v>
      </c>
      <c r="T23" s="9">
        <f t="shared" si="8"/>
        <v>4147</v>
      </c>
      <c r="U23" s="9">
        <f t="shared" si="8"/>
        <v>8302.0661755932852</v>
      </c>
      <c r="V23" s="45"/>
      <c r="W23" s="45"/>
      <c r="Y23" s="45"/>
    </row>
    <row r="24" spans="1:25">
      <c r="A24" s="6">
        <v>16</v>
      </c>
      <c r="B24" s="7" t="s">
        <v>28</v>
      </c>
      <c r="C24" s="69" t="s">
        <v>86</v>
      </c>
      <c r="D24" s="8">
        <v>2121</v>
      </c>
      <c r="E24" s="8">
        <v>9679.4025536100016</v>
      </c>
      <c r="F24" s="8">
        <v>2392</v>
      </c>
      <c r="G24" s="8">
        <v>1005.0170223700001</v>
      </c>
      <c r="H24" s="9">
        <f t="shared" si="0"/>
        <v>4513</v>
      </c>
      <c r="I24" s="9">
        <f t="shared" si="0"/>
        <v>10684.419575980002</v>
      </c>
      <c r="J24" s="44">
        <v>1675</v>
      </c>
      <c r="K24" s="44">
        <f t="shared" si="6"/>
        <v>7644.0354914176105</v>
      </c>
      <c r="L24" s="44">
        <v>1426</v>
      </c>
      <c r="M24" s="44">
        <f t="shared" si="7"/>
        <v>599.14476333596156</v>
      </c>
      <c r="N24" s="9">
        <f t="shared" si="1"/>
        <v>3101</v>
      </c>
      <c r="O24" s="9">
        <f t="shared" si="1"/>
        <v>8243.1802547535717</v>
      </c>
      <c r="P24" s="17">
        <f t="shared" si="2"/>
        <v>3796</v>
      </c>
      <c r="Q24" s="17">
        <f t="shared" si="3"/>
        <v>17323.438045027611</v>
      </c>
      <c r="R24" s="17">
        <f t="shared" si="4"/>
        <v>3818</v>
      </c>
      <c r="S24" s="17">
        <f t="shared" si="5"/>
        <v>1604.1617857059616</v>
      </c>
      <c r="T24" s="9">
        <f t="shared" si="8"/>
        <v>7614</v>
      </c>
      <c r="U24" s="9">
        <f t="shared" si="8"/>
        <v>18927.599830733572</v>
      </c>
      <c r="V24" s="45"/>
      <c r="W24" s="45"/>
      <c r="Y24" s="45"/>
    </row>
    <row r="25" spans="1:25">
      <c r="A25" s="6">
        <v>17</v>
      </c>
      <c r="B25" s="7" t="s">
        <v>29</v>
      </c>
      <c r="C25" s="69" t="s">
        <v>87</v>
      </c>
      <c r="D25" s="8">
        <v>1359</v>
      </c>
      <c r="E25" s="8">
        <v>4791.7788106799999</v>
      </c>
      <c r="F25" s="8">
        <v>10523</v>
      </c>
      <c r="G25" s="8">
        <v>3168.2374003499999</v>
      </c>
      <c r="H25" s="9">
        <f t="shared" ref="H25:I42" si="11">+D25+F25</f>
        <v>11882</v>
      </c>
      <c r="I25" s="9">
        <f t="shared" si="11"/>
        <v>7960.0162110299998</v>
      </c>
      <c r="J25" s="44">
        <v>759</v>
      </c>
      <c r="K25" s="44">
        <f t="shared" si="6"/>
        <v>2676.2031768256952</v>
      </c>
      <c r="L25" s="44">
        <v>6495</v>
      </c>
      <c r="M25" s="44">
        <f t="shared" si="7"/>
        <v>1955.4976637150289</v>
      </c>
      <c r="N25" s="9">
        <f t="shared" ref="N25:O42" si="12">+J25+L25</f>
        <v>7254</v>
      </c>
      <c r="O25" s="9">
        <f t="shared" si="12"/>
        <v>4631.7008405407241</v>
      </c>
      <c r="P25" s="17">
        <f t="shared" si="2"/>
        <v>2118</v>
      </c>
      <c r="Q25" s="17">
        <f t="shared" si="3"/>
        <v>7467.9819875056946</v>
      </c>
      <c r="R25" s="17">
        <f t="shared" si="4"/>
        <v>17018</v>
      </c>
      <c r="S25" s="17">
        <f t="shared" si="5"/>
        <v>5123.7350640650293</v>
      </c>
      <c r="T25" s="9">
        <f t="shared" si="8"/>
        <v>19136</v>
      </c>
      <c r="U25" s="9">
        <f t="shared" si="8"/>
        <v>12591.717051570724</v>
      </c>
      <c r="V25" s="45"/>
      <c r="W25" s="45"/>
      <c r="Y25" s="45"/>
    </row>
    <row r="26" spans="1:25">
      <c r="A26" s="6">
        <v>18</v>
      </c>
      <c r="B26" s="7" t="s">
        <v>30</v>
      </c>
      <c r="C26" s="69" t="s">
        <v>88</v>
      </c>
      <c r="D26" s="8">
        <v>1736</v>
      </c>
      <c r="E26" s="8">
        <v>7407.8981693599999</v>
      </c>
      <c r="F26" s="8">
        <v>1563</v>
      </c>
      <c r="G26" s="8">
        <v>584.56637035000006</v>
      </c>
      <c r="H26" s="9">
        <f t="shared" si="11"/>
        <v>3299</v>
      </c>
      <c r="I26" s="9">
        <f t="shared" si="11"/>
        <v>7992.4645397100003</v>
      </c>
      <c r="J26" s="44">
        <v>1008</v>
      </c>
      <c r="K26" s="44">
        <f t="shared" si="6"/>
        <v>4301.3602273703227</v>
      </c>
      <c r="L26" s="44">
        <v>1319</v>
      </c>
      <c r="M26" s="44">
        <f t="shared" si="7"/>
        <v>493.30968809446586</v>
      </c>
      <c r="N26" s="9">
        <f t="shared" si="12"/>
        <v>2327</v>
      </c>
      <c r="O26" s="9">
        <f t="shared" si="12"/>
        <v>4794.6699154647886</v>
      </c>
      <c r="P26" s="17">
        <f t="shared" si="2"/>
        <v>2744</v>
      </c>
      <c r="Q26" s="17">
        <f t="shared" si="3"/>
        <v>11709.258396730322</v>
      </c>
      <c r="R26" s="17">
        <f t="shared" si="4"/>
        <v>2882</v>
      </c>
      <c r="S26" s="17">
        <f t="shared" si="5"/>
        <v>1077.8760584444658</v>
      </c>
      <c r="T26" s="9">
        <f t="shared" si="8"/>
        <v>5626</v>
      </c>
      <c r="U26" s="9">
        <f t="shared" si="8"/>
        <v>12787.134455174788</v>
      </c>
      <c r="V26" s="45"/>
      <c r="W26" s="45"/>
      <c r="Y26" s="45"/>
    </row>
    <row r="27" spans="1:25">
      <c r="A27" s="6">
        <v>19</v>
      </c>
      <c r="B27" s="7" t="s">
        <v>31</v>
      </c>
      <c r="C27" s="69" t="s">
        <v>89</v>
      </c>
      <c r="D27" s="8">
        <v>5060</v>
      </c>
      <c r="E27" s="8">
        <v>19394.719307750001</v>
      </c>
      <c r="F27" s="8">
        <v>7053</v>
      </c>
      <c r="G27" s="8">
        <v>1448.8814788500001</v>
      </c>
      <c r="H27" s="9">
        <f t="shared" si="11"/>
        <v>12113</v>
      </c>
      <c r="I27" s="9">
        <f t="shared" si="11"/>
        <v>20843.6007866</v>
      </c>
      <c r="J27" s="44">
        <v>3670</v>
      </c>
      <c r="K27" s="44">
        <f t="shared" si="6"/>
        <v>14066.920920838438</v>
      </c>
      <c r="L27" s="44">
        <v>6590</v>
      </c>
      <c r="M27" s="44">
        <f t="shared" si="7"/>
        <v>1353.76845960889</v>
      </c>
      <c r="N27" s="9">
        <f t="shared" si="12"/>
        <v>10260</v>
      </c>
      <c r="O27" s="9">
        <f t="shared" si="12"/>
        <v>15420.689380447327</v>
      </c>
      <c r="P27" s="17">
        <f t="shared" si="2"/>
        <v>8730</v>
      </c>
      <c r="Q27" s="17">
        <f t="shared" si="3"/>
        <v>33461.64022858844</v>
      </c>
      <c r="R27" s="17">
        <f t="shared" si="4"/>
        <v>13643</v>
      </c>
      <c r="S27" s="17">
        <f t="shared" si="5"/>
        <v>2802.6499384588901</v>
      </c>
      <c r="T27" s="9">
        <f t="shared" si="8"/>
        <v>22373</v>
      </c>
      <c r="U27" s="9">
        <f t="shared" si="8"/>
        <v>36264.290167047329</v>
      </c>
      <c r="V27" s="45"/>
      <c r="W27" s="45"/>
      <c r="Y27" s="45"/>
    </row>
    <row r="28" spans="1:25">
      <c r="A28" s="6">
        <v>20</v>
      </c>
      <c r="B28" s="7" t="s">
        <v>32</v>
      </c>
      <c r="C28" s="69" t="s">
        <v>91</v>
      </c>
      <c r="D28" s="8">
        <v>4155</v>
      </c>
      <c r="E28" s="8">
        <v>16069.18843468</v>
      </c>
      <c r="F28" s="8">
        <v>10729</v>
      </c>
      <c r="G28" s="8">
        <v>2940.1709988699999</v>
      </c>
      <c r="H28" s="9">
        <f t="shared" si="11"/>
        <v>14884</v>
      </c>
      <c r="I28" s="9">
        <f t="shared" si="11"/>
        <v>19009.359433549998</v>
      </c>
      <c r="J28" s="44">
        <v>3040</v>
      </c>
      <c r="K28" s="44">
        <f t="shared" si="6"/>
        <v>11756.999480487895</v>
      </c>
      <c r="L28" s="44">
        <v>11250</v>
      </c>
      <c r="M28" s="44">
        <f t="shared" si="7"/>
        <v>3082.9456368056203</v>
      </c>
      <c r="N28" s="9">
        <f t="shared" si="12"/>
        <v>14290</v>
      </c>
      <c r="O28" s="9">
        <f t="shared" si="12"/>
        <v>14839.945117293515</v>
      </c>
      <c r="P28" s="17">
        <f t="shared" si="2"/>
        <v>7195</v>
      </c>
      <c r="Q28" s="17">
        <f t="shared" si="3"/>
        <v>27826.187915167895</v>
      </c>
      <c r="R28" s="17">
        <f t="shared" si="4"/>
        <v>21979</v>
      </c>
      <c r="S28" s="17">
        <f t="shared" si="5"/>
        <v>6023.1166356756203</v>
      </c>
      <c r="T28" s="9">
        <f t="shared" si="8"/>
        <v>29174</v>
      </c>
      <c r="U28" s="9">
        <f t="shared" si="8"/>
        <v>33849.304550843517</v>
      </c>
      <c r="V28" s="45"/>
      <c r="W28" s="45"/>
      <c r="Y28" s="45"/>
    </row>
    <row r="29" spans="1:25">
      <c r="A29" s="6">
        <v>21</v>
      </c>
      <c r="B29" s="7" t="s">
        <v>33</v>
      </c>
      <c r="C29" s="69" t="s">
        <v>93</v>
      </c>
      <c r="D29" s="8">
        <v>1806</v>
      </c>
      <c r="E29" s="8">
        <v>5160.8595247000003</v>
      </c>
      <c r="F29" s="8">
        <v>42371</v>
      </c>
      <c r="G29" s="8">
        <v>8228.0706508000003</v>
      </c>
      <c r="H29" s="9">
        <f t="shared" si="11"/>
        <v>44177</v>
      </c>
      <c r="I29" s="9">
        <f t="shared" si="11"/>
        <v>13388.930175500001</v>
      </c>
      <c r="J29" s="44">
        <v>1218</v>
      </c>
      <c r="K29" s="44">
        <f t="shared" si="6"/>
        <v>3480.5796794488374</v>
      </c>
      <c r="L29" s="44">
        <v>26780</v>
      </c>
      <c r="M29" s="44">
        <f t="shared" si="7"/>
        <v>5200.4373752902693</v>
      </c>
      <c r="N29" s="9">
        <f t="shared" si="12"/>
        <v>27998</v>
      </c>
      <c r="O29" s="9">
        <f t="shared" si="12"/>
        <v>8681.0170547391062</v>
      </c>
      <c r="P29" s="17">
        <f t="shared" si="2"/>
        <v>3024</v>
      </c>
      <c r="Q29" s="17">
        <f t="shared" si="3"/>
        <v>8641.4392041488372</v>
      </c>
      <c r="R29" s="17">
        <f t="shared" si="4"/>
        <v>69151</v>
      </c>
      <c r="S29" s="17">
        <f t="shared" si="5"/>
        <v>13428.508026090269</v>
      </c>
      <c r="T29" s="9">
        <f t="shared" si="8"/>
        <v>72175</v>
      </c>
      <c r="U29" s="9">
        <f t="shared" si="8"/>
        <v>22069.947230239108</v>
      </c>
      <c r="V29" s="45"/>
      <c r="W29" s="45"/>
      <c r="Y29" s="45"/>
    </row>
    <row r="30" spans="1:25">
      <c r="A30" s="6">
        <v>22</v>
      </c>
      <c r="B30" s="7" t="s">
        <v>34</v>
      </c>
      <c r="C30" s="69" t="s">
        <v>94</v>
      </c>
      <c r="D30" s="8">
        <v>0</v>
      </c>
      <c r="E30" s="8">
        <v>0</v>
      </c>
      <c r="F30" s="8">
        <v>5094</v>
      </c>
      <c r="G30" s="8">
        <v>750.59612625000011</v>
      </c>
      <c r="H30" s="9">
        <f t="shared" si="11"/>
        <v>5094</v>
      </c>
      <c r="I30" s="9">
        <f t="shared" si="11"/>
        <v>750.59612625000011</v>
      </c>
      <c r="J30" s="44">
        <v>0</v>
      </c>
      <c r="K30" s="44"/>
      <c r="L30" s="44">
        <v>3693</v>
      </c>
      <c r="M30" s="44">
        <f t="shared" si="7"/>
        <v>544.16008917181989</v>
      </c>
      <c r="N30" s="9">
        <f t="shared" si="12"/>
        <v>3693</v>
      </c>
      <c r="O30" s="9">
        <f t="shared" si="12"/>
        <v>544.16008917181989</v>
      </c>
      <c r="P30" s="17">
        <f t="shared" si="2"/>
        <v>0</v>
      </c>
      <c r="Q30" s="17">
        <f t="shared" si="3"/>
        <v>0</v>
      </c>
      <c r="R30" s="17">
        <f t="shared" si="4"/>
        <v>8787</v>
      </c>
      <c r="S30" s="17">
        <f t="shared" si="5"/>
        <v>1294.7562154218199</v>
      </c>
      <c r="T30" s="9">
        <f t="shared" si="8"/>
        <v>8787</v>
      </c>
      <c r="U30" s="9">
        <f t="shared" si="8"/>
        <v>1294.7562154218199</v>
      </c>
      <c r="V30" s="45"/>
      <c r="W30" s="45"/>
      <c r="Y30" s="45"/>
    </row>
    <row r="31" spans="1:25">
      <c r="A31" s="6">
        <v>23</v>
      </c>
      <c r="B31" s="7" t="s">
        <v>35</v>
      </c>
      <c r="C31" s="69" t="s">
        <v>96</v>
      </c>
      <c r="D31" s="8">
        <v>0</v>
      </c>
      <c r="E31" s="8">
        <v>0</v>
      </c>
      <c r="F31" s="8">
        <v>65971</v>
      </c>
      <c r="G31" s="8">
        <v>7292.5390712500002</v>
      </c>
      <c r="H31" s="9">
        <f t="shared" si="11"/>
        <v>65971</v>
      </c>
      <c r="I31" s="9">
        <f t="shared" si="11"/>
        <v>7292.5390712500002</v>
      </c>
      <c r="J31" s="44">
        <v>0</v>
      </c>
      <c r="K31" s="44"/>
      <c r="L31" s="44">
        <v>45398</v>
      </c>
      <c r="M31" s="44">
        <f t="shared" si="7"/>
        <v>5018.3669908991451</v>
      </c>
      <c r="N31" s="9">
        <f t="shared" si="12"/>
        <v>45398</v>
      </c>
      <c r="O31" s="9">
        <f t="shared" si="12"/>
        <v>5018.3669908991451</v>
      </c>
      <c r="P31" s="17">
        <f t="shared" si="2"/>
        <v>0</v>
      </c>
      <c r="Q31" s="17">
        <f t="shared" si="3"/>
        <v>0</v>
      </c>
      <c r="R31" s="17">
        <f t="shared" si="4"/>
        <v>111369</v>
      </c>
      <c r="S31" s="17">
        <f t="shared" si="5"/>
        <v>12310.906062149144</v>
      </c>
      <c r="T31" s="9">
        <f t="shared" si="8"/>
        <v>111369</v>
      </c>
      <c r="U31" s="9">
        <f t="shared" si="8"/>
        <v>12310.906062149144</v>
      </c>
      <c r="V31" s="45"/>
      <c r="W31" s="45"/>
      <c r="Y31" s="45"/>
    </row>
    <row r="32" spans="1:25">
      <c r="A32" s="6">
        <v>24</v>
      </c>
      <c r="B32" s="7" t="s">
        <v>36</v>
      </c>
      <c r="C32" s="69" t="s">
        <v>98</v>
      </c>
      <c r="D32" s="8">
        <v>0</v>
      </c>
      <c r="E32" s="8">
        <v>0</v>
      </c>
      <c r="F32" s="8">
        <v>47422</v>
      </c>
      <c r="G32" s="8">
        <v>5163.4426048500009</v>
      </c>
      <c r="H32" s="9">
        <f t="shared" si="11"/>
        <v>47422</v>
      </c>
      <c r="I32" s="9">
        <f t="shared" si="11"/>
        <v>5163.4426048500009</v>
      </c>
      <c r="J32" s="44">
        <v>0</v>
      </c>
      <c r="K32" s="44"/>
      <c r="L32" s="44">
        <v>27854</v>
      </c>
      <c r="M32" s="44">
        <f t="shared" si="7"/>
        <v>3032.8229580256407</v>
      </c>
      <c r="N32" s="9">
        <f t="shared" si="12"/>
        <v>27854</v>
      </c>
      <c r="O32" s="9">
        <f t="shared" si="12"/>
        <v>3032.8229580256407</v>
      </c>
      <c r="P32" s="17">
        <f t="shared" si="2"/>
        <v>0</v>
      </c>
      <c r="Q32" s="17">
        <f t="shared" si="3"/>
        <v>0</v>
      </c>
      <c r="R32" s="17">
        <f t="shared" si="4"/>
        <v>75276</v>
      </c>
      <c r="S32" s="17">
        <f t="shared" si="5"/>
        <v>8196.265562875642</v>
      </c>
      <c r="T32" s="9">
        <f t="shared" si="8"/>
        <v>75276</v>
      </c>
      <c r="U32" s="9">
        <f t="shared" si="8"/>
        <v>8196.265562875642</v>
      </c>
      <c r="V32" s="45"/>
      <c r="W32" s="45"/>
      <c r="Y32" s="45"/>
    </row>
    <row r="33" spans="1:25">
      <c r="A33" s="6">
        <v>25</v>
      </c>
      <c r="B33" s="7" t="s">
        <v>37</v>
      </c>
      <c r="C33" s="69" t="s">
        <v>100</v>
      </c>
      <c r="D33" s="8">
        <v>0</v>
      </c>
      <c r="E33" s="8">
        <v>0</v>
      </c>
      <c r="F33" s="8">
        <v>90300</v>
      </c>
      <c r="G33" s="8">
        <v>10959.190705949999</v>
      </c>
      <c r="H33" s="9">
        <f t="shared" si="11"/>
        <v>90300</v>
      </c>
      <c r="I33" s="9">
        <f t="shared" si="11"/>
        <v>10959.190705949999</v>
      </c>
      <c r="J33" s="44">
        <v>0</v>
      </c>
      <c r="K33" s="44"/>
      <c r="L33" s="44">
        <v>65342</v>
      </c>
      <c r="M33" s="44">
        <f t="shared" si="7"/>
        <v>7930.1820499245268</v>
      </c>
      <c r="N33" s="9">
        <f t="shared" si="12"/>
        <v>65342</v>
      </c>
      <c r="O33" s="9">
        <f t="shared" si="12"/>
        <v>7930.1820499245268</v>
      </c>
      <c r="P33" s="17">
        <f t="shared" si="2"/>
        <v>0</v>
      </c>
      <c r="Q33" s="17">
        <f t="shared" si="3"/>
        <v>0</v>
      </c>
      <c r="R33" s="17">
        <f t="shared" si="4"/>
        <v>155642</v>
      </c>
      <c r="S33" s="17">
        <f t="shared" si="5"/>
        <v>18889.372755874527</v>
      </c>
      <c r="T33" s="9">
        <f t="shared" si="8"/>
        <v>155642</v>
      </c>
      <c r="U33" s="9">
        <f t="shared" si="8"/>
        <v>18889.372755874527</v>
      </c>
      <c r="V33" s="45"/>
      <c r="W33" s="45"/>
      <c r="Y33" s="45"/>
    </row>
    <row r="34" spans="1:25">
      <c r="A34" s="6">
        <v>26</v>
      </c>
      <c r="B34" s="7" t="s">
        <v>38</v>
      </c>
      <c r="C34" s="69" t="s">
        <v>101</v>
      </c>
      <c r="D34" s="8">
        <v>0</v>
      </c>
      <c r="E34" s="8">
        <v>0</v>
      </c>
      <c r="F34" s="8">
        <v>14142</v>
      </c>
      <c r="G34" s="8">
        <v>1835.2377395000001</v>
      </c>
      <c r="H34" s="9">
        <f t="shared" si="11"/>
        <v>14142</v>
      </c>
      <c r="I34" s="9">
        <f t="shared" si="11"/>
        <v>1835.2377395000001</v>
      </c>
      <c r="J34" s="44">
        <v>0</v>
      </c>
      <c r="K34" s="44"/>
      <c r="L34" s="44">
        <v>7994</v>
      </c>
      <c r="M34" s="44">
        <f t="shared" si="7"/>
        <v>1037.398563821454</v>
      </c>
      <c r="N34" s="9">
        <f t="shared" si="12"/>
        <v>7994</v>
      </c>
      <c r="O34" s="9">
        <f t="shared" si="12"/>
        <v>1037.398563821454</v>
      </c>
      <c r="P34" s="17">
        <f t="shared" si="2"/>
        <v>0</v>
      </c>
      <c r="Q34" s="17">
        <f t="shared" si="3"/>
        <v>0</v>
      </c>
      <c r="R34" s="17">
        <f t="shared" si="4"/>
        <v>22136</v>
      </c>
      <c r="S34" s="17">
        <f t="shared" si="5"/>
        <v>2872.6363033214539</v>
      </c>
      <c r="T34" s="9">
        <f t="shared" si="8"/>
        <v>22136</v>
      </c>
      <c r="U34" s="9">
        <f t="shared" si="8"/>
        <v>2872.6363033214539</v>
      </c>
      <c r="V34" s="45"/>
      <c r="W34" s="45"/>
      <c r="Y34" s="45"/>
    </row>
    <row r="35" spans="1:25">
      <c r="A35" s="6">
        <v>27</v>
      </c>
      <c r="B35" s="7" t="s">
        <v>39</v>
      </c>
      <c r="C35" s="69" t="s">
        <v>102</v>
      </c>
      <c r="D35" s="8">
        <v>0</v>
      </c>
      <c r="E35" s="8">
        <v>0</v>
      </c>
      <c r="F35" s="8">
        <v>9400</v>
      </c>
      <c r="G35" s="8">
        <v>1153.25441918</v>
      </c>
      <c r="H35" s="9">
        <f t="shared" si="11"/>
        <v>9400</v>
      </c>
      <c r="I35" s="9">
        <f t="shared" si="11"/>
        <v>1153.25441918</v>
      </c>
      <c r="J35" s="44">
        <v>0</v>
      </c>
      <c r="K35" s="44"/>
      <c r="L35" s="44">
        <v>5157</v>
      </c>
      <c r="M35" s="44">
        <f t="shared" si="7"/>
        <v>632.69500422460214</v>
      </c>
      <c r="N35" s="9">
        <f t="shared" si="12"/>
        <v>5157</v>
      </c>
      <c r="O35" s="9">
        <f t="shared" si="12"/>
        <v>632.69500422460214</v>
      </c>
      <c r="P35" s="17">
        <f t="shared" si="2"/>
        <v>0</v>
      </c>
      <c r="Q35" s="17">
        <f t="shared" si="3"/>
        <v>0</v>
      </c>
      <c r="R35" s="17">
        <f t="shared" si="4"/>
        <v>14557</v>
      </c>
      <c r="S35" s="17">
        <f t="shared" si="5"/>
        <v>1785.9494234046022</v>
      </c>
      <c r="T35" s="9">
        <f t="shared" si="8"/>
        <v>14557</v>
      </c>
      <c r="U35" s="9">
        <f t="shared" si="8"/>
        <v>1785.9494234046022</v>
      </c>
      <c r="V35" s="45"/>
      <c r="W35" s="45"/>
      <c r="Y35" s="45"/>
    </row>
    <row r="36" spans="1:25">
      <c r="A36" s="6">
        <v>28</v>
      </c>
      <c r="B36" s="7" t="s">
        <v>40</v>
      </c>
      <c r="C36" s="69" t="s">
        <v>104</v>
      </c>
      <c r="D36" s="8">
        <v>0</v>
      </c>
      <c r="E36" s="8">
        <v>0</v>
      </c>
      <c r="F36" s="8">
        <v>5005</v>
      </c>
      <c r="G36" s="8">
        <v>707.02454389999991</v>
      </c>
      <c r="H36" s="9">
        <f t="shared" si="11"/>
        <v>5005</v>
      </c>
      <c r="I36" s="9">
        <f t="shared" si="11"/>
        <v>707.02454389999991</v>
      </c>
      <c r="J36" s="44">
        <v>0</v>
      </c>
      <c r="K36" s="44"/>
      <c r="L36" s="44">
        <v>3677</v>
      </c>
      <c r="M36" s="44">
        <f t="shared" si="7"/>
        <v>519.42642316089905</v>
      </c>
      <c r="N36" s="9">
        <f t="shared" si="12"/>
        <v>3677</v>
      </c>
      <c r="O36" s="9">
        <f t="shared" si="12"/>
        <v>519.42642316089905</v>
      </c>
      <c r="P36" s="17">
        <f t="shared" si="2"/>
        <v>0</v>
      </c>
      <c r="Q36" s="17">
        <f t="shared" si="3"/>
        <v>0</v>
      </c>
      <c r="R36" s="17">
        <f t="shared" si="4"/>
        <v>8682</v>
      </c>
      <c r="S36" s="17">
        <f t="shared" si="5"/>
        <v>1226.4509670608991</v>
      </c>
      <c r="T36" s="9">
        <f t="shared" si="8"/>
        <v>8682</v>
      </c>
      <c r="U36" s="9">
        <f t="shared" si="8"/>
        <v>1226.4509670608991</v>
      </c>
      <c r="V36" s="45"/>
      <c r="W36" s="45"/>
      <c r="Y36" s="45"/>
    </row>
    <row r="37" spans="1:25">
      <c r="A37" s="6">
        <v>29</v>
      </c>
      <c r="B37" s="7" t="s">
        <v>41</v>
      </c>
      <c r="C37" s="69" t="s">
        <v>105</v>
      </c>
      <c r="D37" s="8">
        <v>0</v>
      </c>
      <c r="E37" s="8">
        <v>0</v>
      </c>
      <c r="F37" s="8">
        <v>39216</v>
      </c>
      <c r="G37" s="8">
        <v>4234.4438702499992</v>
      </c>
      <c r="H37" s="9">
        <f t="shared" si="11"/>
        <v>39216</v>
      </c>
      <c r="I37" s="9">
        <f t="shared" si="11"/>
        <v>4234.4438702499992</v>
      </c>
      <c r="J37" s="44">
        <v>0</v>
      </c>
      <c r="K37" s="44"/>
      <c r="L37" s="44">
        <v>26359</v>
      </c>
      <c r="M37" s="44">
        <f t="shared" si="7"/>
        <v>2846.1777329640895</v>
      </c>
      <c r="N37" s="9">
        <f t="shared" si="12"/>
        <v>26359</v>
      </c>
      <c r="O37" s="9">
        <f t="shared" si="12"/>
        <v>2846.1777329640895</v>
      </c>
      <c r="P37" s="17">
        <f t="shared" si="2"/>
        <v>0</v>
      </c>
      <c r="Q37" s="17">
        <f t="shared" si="3"/>
        <v>0</v>
      </c>
      <c r="R37" s="17">
        <f t="shared" si="4"/>
        <v>65575</v>
      </c>
      <c r="S37" s="17">
        <f t="shared" si="5"/>
        <v>7080.6216032140892</v>
      </c>
      <c r="T37" s="9">
        <f t="shared" si="8"/>
        <v>65575</v>
      </c>
      <c r="U37" s="9">
        <f t="shared" si="8"/>
        <v>7080.6216032140892</v>
      </c>
      <c r="V37" s="45"/>
      <c r="W37" s="45"/>
      <c r="Y37" s="45"/>
    </row>
    <row r="38" spans="1:25">
      <c r="A38" s="6">
        <v>30</v>
      </c>
      <c r="B38" s="7" t="s">
        <v>68</v>
      </c>
      <c r="C38" s="69" t="s">
        <v>116</v>
      </c>
      <c r="D38" s="8">
        <v>7281</v>
      </c>
      <c r="E38" s="8">
        <v>19583.271089419999</v>
      </c>
      <c r="F38" s="8">
        <v>41033</v>
      </c>
      <c r="G38" s="8">
        <v>7932.3167294100003</v>
      </c>
      <c r="H38" s="9">
        <f t="shared" si="11"/>
        <v>48314</v>
      </c>
      <c r="I38" s="9">
        <f t="shared" si="11"/>
        <v>27515.587818829998</v>
      </c>
      <c r="J38" s="44">
        <v>5759</v>
      </c>
      <c r="K38" s="44">
        <f t="shared" si="6"/>
        <v>15489.638539207495</v>
      </c>
      <c r="L38" s="44">
        <v>23807</v>
      </c>
      <c r="M38" s="44">
        <f t="shared" si="7"/>
        <v>4602.2631632360271</v>
      </c>
      <c r="N38" s="9">
        <f t="shared" si="12"/>
        <v>29566</v>
      </c>
      <c r="O38" s="9">
        <f t="shared" si="12"/>
        <v>20091.901702443523</v>
      </c>
      <c r="P38" s="17">
        <f t="shared" si="2"/>
        <v>13040</v>
      </c>
      <c r="Q38" s="17">
        <f t="shared" si="3"/>
        <v>35072.909628627494</v>
      </c>
      <c r="R38" s="17">
        <f t="shared" si="4"/>
        <v>64840</v>
      </c>
      <c r="S38" s="17">
        <f t="shared" si="5"/>
        <v>12534.579892646027</v>
      </c>
      <c r="T38" s="9">
        <f t="shared" si="8"/>
        <v>77880</v>
      </c>
      <c r="U38" s="9">
        <f t="shared" si="8"/>
        <v>47607.489521273521</v>
      </c>
      <c r="V38" s="45"/>
      <c r="W38" s="45"/>
      <c r="Y38" s="45"/>
    </row>
    <row r="39" spans="1:25">
      <c r="A39" s="10">
        <v>31</v>
      </c>
      <c r="B39" s="11" t="s">
        <v>42</v>
      </c>
      <c r="C39" s="70" t="s">
        <v>106</v>
      </c>
      <c r="D39" s="8">
        <v>0</v>
      </c>
      <c r="E39" s="8">
        <v>0</v>
      </c>
      <c r="F39" s="8">
        <v>6277</v>
      </c>
      <c r="G39" s="8">
        <v>879.48384137000005</v>
      </c>
      <c r="H39" s="9">
        <f t="shared" si="11"/>
        <v>6277</v>
      </c>
      <c r="I39" s="9">
        <f t="shared" si="11"/>
        <v>879.48384137000005</v>
      </c>
      <c r="J39" s="44">
        <v>0</v>
      </c>
      <c r="K39" s="44"/>
      <c r="L39" s="44">
        <v>3809</v>
      </c>
      <c r="M39" s="44">
        <f t="shared" si="7"/>
        <v>533.68710399527322</v>
      </c>
      <c r="N39" s="9">
        <f t="shared" si="12"/>
        <v>3809</v>
      </c>
      <c r="O39" s="9">
        <f t="shared" si="12"/>
        <v>533.68710399527322</v>
      </c>
      <c r="P39" s="17">
        <f t="shared" si="2"/>
        <v>0</v>
      </c>
      <c r="Q39" s="17">
        <f t="shared" si="3"/>
        <v>0</v>
      </c>
      <c r="R39" s="17">
        <f t="shared" si="4"/>
        <v>10086</v>
      </c>
      <c r="S39" s="17">
        <f t="shared" si="5"/>
        <v>1413.1709453652734</v>
      </c>
      <c r="T39" s="9">
        <f t="shared" si="8"/>
        <v>10086</v>
      </c>
      <c r="U39" s="9">
        <f t="shared" si="8"/>
        <v>1413.1709453652734</v>
      </c>
      <c r="V39" s="45"/>
      <c r="W39" s="45"/>
      <c r="Y39" s="45"/>
    </row>
    <row r="40" spans="1:25" s="15" customFormat="1">
      <c r="A40" s="12">
        <v>32</v>
      </c>
      <c r="B40" s="13" t="s">
        <v>43</v>
      </c>
      <c r="C40" s="71" t="s">
        <v>107</v>
      </c>
      <c r="D40" s="8">
        <v>0</v>
      </c>
      <c r="E40" s="8">
        <v>0</v>
      </c>
      <c r="F40" s="8">
        <v>998</v>
      </c>
      <c r="G40" s="8">
        <v>130.21978759999999</v>
      </c>
      <c r="H40" s="9">
        <f t="shared" si="11"/>
        <v>998</v>
      </c>
      <c r="I40" s="9">
        <f t="shared" si="11"/>
        <v>130.21978759999999</v>
      </c>
      <c r="J40" s="44">
        <v>0</v>
      </c>
      <c r="K40" s="44"/>
      <c r="L40" s="44">
        <v>626</v>
      </c>
      <c r="M40" s="44">
        <f t="shared" si="7"/>
        <v>81.680948935470937</v>
      </c>
      <c r="N40" s="9">
        <f t="shared" si="12"/>
        <v>626</v>
      </c>
      <c r="O40" s="9">
        <f t="shared" si="12"/>
        <v>81.680948935470937</v>
      </c>
      <c r="P40" s="17">
        <f t="shared" si="2"/>
        <v>0</v>
      </c>
      <c r="Q40" s="17">
        <f t="shared" si="3"/>
        <v>0</v>
      </c>
      <c r="R40" s="17">
        <f t="shared" si="4"/>
        <v>1624</v>
      </c>
      <c r="S40" s="17">
        <f t="shared" si="5"/>
        <v>211.90073653547091</v>
      </c>
      <c r="T40" s="9">
        <f t="shared" si="8"/>
        <v>1624</v>
      </c>
      <c r="U40" s="9">
        <f t="shared" si="8"/>
        <v>211.90073653547091</v>
      </c>
      <c r="V40" s="45"/>
      <c r="W40" s="45"/>
      <c r="X40" s="1"/>
      <c r="Y40" s="45"/>
    </row>
    <row r="41" spans="1:25">
      <c r="A41" s="6">
        <v>33</v>
      </c>
      <c r="B41" s="7" t="s">
        <v>44</v>
      </c>
      <c r="C41" s="69" t="s">
        <v>117</v>
      </c>
      <c r="D41" s="8">
        <v>0</v>
      </c>
      <c r="E41" s="8">
        <v>0</v>
      </c>
      <c r="F41" s="8">
        <v>8932</v>
      </c>
      <c r="G41" s="8">
        <v>1015.195108</v>
      </c>
      <c r="H41" s="9">
        <f t="shared" si="11"/>
        <v>8932</v>
      </c>
      <c r="I41" s="9">
        <f t="shared" si="11"/>
        <v>1015.195108</v>
      </c>
      <c r="J41" s="44">
        <v>0</v>
      </c>
      <c r="K41" s="44"/>
      <c r="L41" s="44">
        <v>5599</v>
      </c>
      <c r="M41" s="44">
        <f t="shared" si="7"/>
        <v>636.37230292118227</v>
      </c>
      <c r="N41" s="9">
        <f t="shared" si="12"/>
        <v>5599</v>
      </c>
      <c r="O41" s="9">
        <f t="shared" si="12"/>
        <v>636.37230292118227</v>
      </c>
      <c r="P41" s="17">
        <f t="shared" si="2"/>
        <v>0</v>
      </c>
      <c r="Q41" s="17">
        <f t="shared" si="3"/>
        <v>0</v>
      </c>
      <c r="R41" s="17">
        <f t="shared" si="4"/>
        <v>14531</v>
      </c>
      <c r="S41" s="17">
        <f t="shared" si="5"/>
        <v>1651.5674109211823</v>
      </c>
      <c r="T41" s="9">
        <f t="shared" si="8"/>
        <v>14531</v>
      </c>
      <c r="U41" s="9">
        <f t="shared" si="8"/>
        <v>1651.5674109211823</v>
      </c>
      <c r="V41" s="45"/>
      <c r="W41" s="45"/>
      <c r="Y41" s="45"/>
    </row>
    <row r="42" spans="1:25">
      <c r="A42" s="6">
        <v>34</v>
      </c>
      <c r="B42" s="7" t="s">
        <v>45</v>
      </c>
      <c r="C42" s="69" t="s">
        <v>118</v>
      </c>
      <c r="D42" s="8">
        <v>0</v>
      </c>
      <c r="E42" s="8">
        <v>0</v>
      </c>
      <c r="F42" s="8">
        <v>13541</v>
      </c>
      <c r="G42" s="8">
        <v>1584.0641080999999</v>
      </c>
      <c r="H42" s="9">
        <f t="shared" si="11"/>
        <v>13541</v>
      </c>
      <c r="I42" s="9">
        <f t="shared" si="11"/>
        <v>1584.0641080999999</v>
      </c>
      <c r="J42" s="44">
        <v>0</v>
      </c>
      <c r="K42" s="44"/>
      <c r="L42" s="44">
        <v>6858</v>
      </c>
      <c r="M42" s="44">
        <f t="shared" si="7"/>
        <v>802.26804913594265</v>
      </c>
      <c r="N42" s="9">
        <f t="shared" si="12"/>
        <v>6858</v>
      </c>
      <c r="O42" s="9">
        <f t="shared" si="12"/>
        <v>802.26804913594265</v>
      </c>
      <c r="P42" s="17">
        <f t="shared" si="2"/>
        <v>0</v>
      </c>
      <c r="Q42" s="17">
        <f t="shared" si="3"/>
        <v>0</v>
      </c>
      <c r="R42" s="17">
        <f t="shared" si="4"/>
        <v>20399</v>
      </c>
      <c r="S42" s="17">
        <f t="shared" si="5"/>
        <v>2386.3321572359428</v>
      </c>
      <c r="T42" s="9">
        <f t="shared" si="8"/>
        <v>20399</v>
      </c>
      <c r="U42" s="9">
        <f t="shared" si="8"/>
        <v>2386.3321572359428</v>
      </c>
      <c r="V42" s="45"/>
      <c r="W42" s="45"/>
      <c r="Y42" s="45"/>
    </row>
    <row r="43" spans="1:25">
      <c r="A43" s="207" t="s">
        <v>10</v>
      </c>
      <c r="B43" s="208"/>
      <c r="C43" s="51"/>
      <c r="D43" s="16">
        <f>SUM(D9:D42)</f>
        <v>125012</v>
      </c>
      <c r="E43" s="16">
        <f t="shared" ref="E43:U43" si="13">SUM(E9:E42)</f>
        <v>457259.67057402007</v>
      </c>
      <c r="F43" s="16">
        <f t="shared" si="13"/>
        <v>1220159</v>
      </c>
      <c r="G43" s="16">
        <f t="shared" si="13"/>
        <v>223305.55674417998</v>
      </c>
      <c r="H43" s="16">
        <f t="shared" si="13"/>
        <v>1345171</v>
      </c>
      <c r="I43" s="16">
        <f t="shared" si="13"/>
        <v>680565.22731820017</v>
      </c>
      <c r="J43" s="16">
        <f t="shared" si="13"/>
        <v>103473</v>
      </c>
      <c r="K43" s="16">
        <f t="shared" si="13"/>
        <v>348457.37757688563</v>
      </c>
      <c r="L43" s="16">
        <f t="shared" si="13"/>
        <v>850572</v>
      </c>
      <c r="M43" s="16">
        <f t="shared" si="13"/>
        <v>153911.42586941808</v>
      </c>
      <c r="N43" s="16">
        <f t="shared" si="13"/>
        <v>954045</v>
      </c>
      <c r="O43" s="16">
        <f t="shared" si="13"/>
        <v>502368.80344630341</v>
      </c>
      <c r="P43" s="16">
        <f t="shared" si="13"/>
        <v>228485</v>
      </c>
      <c r="Q43" s="16">
        <f t="shared" si="13"/>
        <v>805717.04815090552</v>
      </c>
      <c r="R43" s="16">
        <f t="shared" si="13"/>
        <v>2070731</v>
      </c>
      <c r="S43" s="16">
        <f t="shared" si="13"/>
        <v>377216.98261359805</v>
      </c>
      <c r="T43" s="16">
        <f t="shared" si="13"/>
        <v>2299216</v>
      </c>
      <c r="U43" s="16">
        <f t="shared" si="13"/>
        <v>1182934.0307645036</v>
      </c>
    </row>
    <row r="44" spans="1:25" ht="18">
      <c r="A44" s="209"/>
      <c r="B44" s="209"/>
      <c r="C44" s="209"/>
      <c r="D44" s="209"/>
      <c r="E44" s="209"/>
      <c r="F44" s="209"/>
      <c r="G44" s="209"/>
      <c r="H44" s="209"/>
      <c r="I44" s="209"/>
      <c r="O44" s="49"/>
    </row>
    <row r="45" spans="1:25">
      <c r="A45" s="206"/>
      <c r="B45" s="206"/>
      <c r="C45" s="206"/>
      <c r="D45" s="206"/>
      <c r="E45" s="206"/>
      <c r="F45" s="206"/>
      <c r="G45" s="206"/>
      <c r="H45" s="206"/>
      <c r="I45" s="206"/>
      <c r="O45" s="45"/>
      <c r="P45" s="45"/>
      <c r="Q45" s="45"/>
      <c r="R45" s="45"/>
      <c r="S45" s="45"/>
      <c r="T45" s="45"/>
      <c r="U45" s="45"/>
    </row>
    <row r="46" spans="1:25">
      <c r="P46" s="45"/>
      <c r="Q46" s="45"/>
      <c r="R46" s="45"/>
      <c r="S46" s="45"/>
      <c r="T46" s="45"/>
      <c r="U46" s="45"/>
    </row>
    <row r="47" spans="1:25" ht="18">
      <c r="J47" s="49"/>
    </row>
  </sheetData>
  <mergeCells count="23">
    <mergeCell ref="A1:D1"/>
    <mergeCell ref="A2:D2"/>
    <mergeCell ref="A3:U3"/>
    <mergeCell ref="S4:U4"/>
    <mergeCell ref="D6:E6"/>
    <mergeCell ref="F6:G6"/>
    <mergeCell ref="H6:I6"/>
    <mergeCell ref="R6:S6"/>
    <mergeCell ref="N6:O6"/>
    <mergeCell ref="P6:Q6"/>
    <mergeCell ref="S1:U1"/>
    <mergeCell ref="A45:I45"/>
    <mergeCell ref="A43:B43"/>
    <mergeCell ref="A44:I44"/>
    <mergeCell ref="T6:U6"/>
    <mergeCell ref="A5:A7"/>
    <mergeCell ref="B5:B7"/>
    <mergeCell ref="C5:C7"/>
    <mergeCell ref="D5:I5"/>
    <mergeCell ref="J5:O5"/>
    <mergeCell ref="P5:U5"/>
    <mergeCell ref="J6:K6"/>
    <mergeCell ref="L6:M6"/>
  </mergeCells>
  <pageMargins left="0.2" right="0.2" top="0.31" bottom="0.23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F8C8-C54C-4C8A-ABCF-2BD75961F9E0}">
  <dimension ref="A1:V46"/>
  <sheetViews>
    <sheetView topLeftCell="C1" zoomScale="85" zoomScaleNormal="85" workbookViewId="0">
      <selection activeCell="S2" sqref="S2"/>
    </sheetView>
  </sheetViews>
  <sheetFormatPr defaultColWidth="9.1796875" defaultRowHeight="14"/>
  <cols>
    <col min="1" max="1" width="5" style="1" customWidth="1"/>
    <col min="2" max="2" width="28.81640625" style="1" customWidth="1"/>
    <col min="3" max="3" width="6.7265625" style="1" bestFit="1" customWidth="1"/>
    <col min="4" max="4" width="7.90625" style="1" customWidth="1"/>
    <col min="5" max="5" width="8.08984375" style="1" customWidth="1"/>
    <col min="6" max="10" width="9.1796875" style="1"/>
    <col min="11" max="11" width="7.90625" style="1" customWidth="1"/>
    <col min="12" max="12" width="9.1796875" style="1"/>
    <col min="13" max="13" width="7.54296875" style="1" customWidth="1"/>
    <col min="14" max="14" width="8.90625" style="1" customWidth="1"/>
    <col min="15" max="15" width="9.1796875" style="1"/>
    <col min="16" max="16" width="9.26953125" style="1" customWidth="1"/>
    <col min="17" max="19" width="9.1796875" style="1"/>
    <col min="20" max="20" width="6.453125" style="1" customWidth="1"/>
    <col min="21" max="16384" width="9.1796875" style="1"/>
  </cols>
  <sheetData>
    <row r="1" spans="1:22">
      <c r="A1" s="222" t="s">
        <v>3</v>
      </c>
      <c r="B1" s="222"/>
      <c r="C1" s="222"/>
      <c r="S1" s="225" t="s">
        <v>249</v>
      </c>
      <c r="T1" s="225"/>
      <c r="U1" s="225"/>
    </row>
    <row r="2" spans="1:22">
      <c r="A2" s="223" t="s">
        <v>109</v>
      </c>
      <c r="B2" s="223"/>
      <c r="C2" s="223"/>
    </row>
    <row r="3" spans="1:22">
      <c r="A3" s="224" t="s">
        <v>230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</row>
    <row r="4" spans="1:22" ht="15" customHeight="1">
      <c r="G4" s="3"/>
      <c r="S4" s="226" t="s">
        <v>4</v>
      </c>
      <c r="T4" s="226"/>
      <c r="U4" s="226"/>
    </row>
    <row r="5" spans="1:22" ht="30" customHeight="1">
      <c r="A5" s="212" t="s">
        <v>5</v>
      </c>
      <c r="B5" s="215" t="s">
        <v>6</v>
      </c>
      <c r="C5" s="215" t="s">
        <v>7</v>
      </c>
      <c r="D5" s="218" t="s">
        <v>46</v>
      </c>
      <c r="E5" s="219"/>
      <c r="F5" s="219"/>
      <c r="G5" s="219"/>
      <c r="H5" s="219"/>
      <c r="I5" s="219"/>
      <c r="J5" s="219"/>
      <c r="K5" s="219"/>
      <c r="L5" s="220"/>
      <c r="M5" s="229" t="s">
        <v>142</v>
      </c>
      <c r="N5" s="229"/>
      <c r="O5" s="229"/>
      <c r="P5" s="229"/>
      <c r="Q5" s="229"/>
      <c r="R5" s="229"/>
      <c r="S5" s="229"/>
      <c r="T5" s="229"/>
      <c r="U5" s="229"/>
    </row>
    <row r="6" spans="1:22" ht="30" customHeight="1">
      <c r="A6" s="213"/>
      <c r="B6" s="216"/>
      <c r="C6" s="216"/>
      <c r="D6" s="210" t="s">
        <v>8</v>
      </c>
      <c r="E6" s="221"/>
      <c r="F6" s="210" t="s">
        <v>9</v>
      </c>
      <c r="G6" s="221"/>
      <c r="H6" s="210" t="s">
        <v>246</v>
      </c>
      <c r="I6" s="211"/>
      <c r="J6" s="227" t="s">
        <v>231</v>
      </c>
      <c r="K6" s="227" t="s">
        <v>233</v>
      </c>
      <c r="L6" s="227" t="s">
        <v>232</v>
      </c>
      <c r="M6" s="230" t="s">
        <v>8</v>
      </c>
      <c r="N6" s="230"/>
      <c r="O6" s="230" t="s">
        <v>9</v>
      </c>
      <c r="P6" s="230"/>
      <c r="Q6" s="210" t="s">
        <v>246</v>
      </c>
      <c r="R6" s="211"/>
      <c r="S6" s="229" t="s">
        <v>231</v>
      </c>
      <c r="T6" s="229" t="s">
        <v>233</v>
      </c>
      <c r="U6" s="229" t="s">
        <v>243</v>
      </c>
    </row>
    <row r="7" spans="1:22" ht="34.5" customHeight="1">
      <c r="A7" s="214"/>
      <c r="B7" s="214"/>
      <c r="C7" s="217"/>
      <c r="D7" s="4" t="s">
        <v>11</v>
      </c>
      <c r="E7" s="4" t="s">
        <v>12</v>
      </c>
      <c r="F7" s="4" t="s">
        <v>11</v>
      </c>
      <c r="G7" s="4" t="s">
        <v>12</v>
      </c>
      <c r="H7" s="5" t="s">
        <v>11</v>
      </c>
      <c r="I7" s="5" t="s">
        <v>12</v>
      </c>
      <c r="J7" s="228"/>
      <c r="K7" s="228"/>
      <c r="L7" s="228"/>
      <c r="M7" s="4" t="s">
        <v>11</v>
      </c>
      <c r="N7" s="4" t="s">
        <v>12</v>
      </c>
      <c r="O7" s="4" t="s">
        <v>11</v>
      </c>
      <c r="P7" s="4" t="s">
        <v>12</v>
      </c>
      <c r="Q7" s="5" t="s">
        <v>11</v>
      </c>
      <c r="R7" s="5" t="s">
        <v>12</v>
      </c>
      <c r="S7" s="229"/>
      <c r="T7" s="229"/>
      <c r="U7" s="229"/>
    </row>
    <row r="8" spans="1:22" ht="18" customHeight="1">
      <c r="A8" s="167" t="s">
        <v>2</v>
      </c>
      <c r="B8" s="167" t="s">
        <v>1</v>
      </c>
      <c r="C8" s="168" t="s">
        <v>112</v>
      </c>
      <c r="D8" s="4">
        <v>1</v>
      </c>
      <c r="E8" s="4">
        <v>2</v>
      </c>
      <c r="F8" s="4">
        <v>3</v>
      </c>
      <c r="G8" s="4">
        <v>4</v>
      </c>
      <c r="H8" s="5" t="s">
        <v>126</v>
      </c>
      <c r="I8" s="5" t="s">
        <v>127</v>
      </c>
      <c r="J8" s="4">
        <v>7</v>
      </c>
      <c r="K8" s="4" t="s">
        <v>234</v>
      </c>
      <c r="L8" s="4" t="s">
        <v>235</v>
      </c>
      <c r="M8" s="4">
        <v>10</v>
      </c>
      <c r="N8" s="4">
        <v>11</v>
      </c>
      <c r="O8" s="4">
        <v>12</v>
      </c>
      <c r="P8" s="4">
        <v>13</v>
      </c>
      <c r="Q8" s="5" t="s">
        <v>214</v>
      </c>
      <c r="R8" s="5" t="s">
        <v>236</v>
      </c>
      <c r="S8" s="4">
        <v>7</v>
      </c>
      <c r="T8" s="4" t="s">
        <v>234</v>
      </c>
      <c r="U8" s="4" t="s">
        <v>235</v>
      </c>
    </row>
    <row r="9" spans="1:22">
      <c r="A9" s="6">
        <v>1</v>
      </c>
      <c r="B9" s="7" t="s">
        <v>13</v>
      </c>
      <c r="C9" s="69" t="s">
        <v>70</v>
      </c>
      <c r="D9" s="17">
        <f>ChiKCB_2021!P9</f>
        <v>63406</v>
      </c>
      <c r="E9" s="17">
        <f>ChiKCB_2021!Q9</f>
        <v>413273.64723795292</v>
      </c>
      <c r="F9" s="17">
        <f>ChiKCB_2021!R9</f>
        <v>156897</v>
      </c>
      <c r="G9" s="17">
        <f>ChiKCB_2021!S9</f>
        <v>103323.8464420347</v>
      </c>
      <c r="H9" s="9">
        <f>D9+F9</f>
        <v>220303</v>
      </c>
      <c r="I9" s="9">
        <f>E9+G9</f>
        <v>516597.49367998762</v>
      </c>
      <c r="J9" s="8">
        <f>Tongmucthanhtoan2019_2021!N10</f>
        <v>506040.31107022485</v>
      </c>
      <c r="K9" s="8">
        <f>IF(I9-J9&gt;0,I9-J9,0)</f>
        <v>10557.182609762764</v>
      </c>
      <c r="L9" s="8">
        <f>I9-K9</f>
        <v>506040.31107022485</v>
      </c>
      <c r="M9" s="17">
        <f>D9+Giatang2022!S8</f>
        <v>80394.940341190115</v>
      </c>
      <c r="N9" s="17">
        <f>E9+Giatang2022!T8</f>
        <v>522796.14436718088</v>
      </c>
      <c r="O9" s="17">
        <f>F9+Giatang2022!U8</f>
        <v>194526.61353359857</v>
      </c>
      <c r="P9" s="17">
        <f>G9+Giatang2022!V8</f>
        <v>127430.80745655601</v>
      </c>
      <c r="Q9" s="9">
        <f>M9+O9</f>
        <v>274921.55387478869</v>
      </c>
      <c r="R9" s="9">
        <f>N9+P9</f>
        <v>650226.95182373689</v>
      </c>
      <c r="S9" s="8">
        <f>Tongmuc2022!K10</f>
        <v>644664.4995951762</v>
      </c>
      <c r="T9" s="8">
        <f>IF(R9-S9&gt;0,R9-S9,0)</f>
        <v>5562.4522285606945</v>
      </c>
      <c r="U9" s="8">
        <f>R9-T9</f>
        <v>644664.4995951762</v>
      </c>
      <c r="V9" s="45"/>
    </row>
    <row r="10" spans="1:22">
      <c r="A10" s="6">
        <v>2</v>
      </c>
      <c r="B10" s="7" t="s">
        <v>14</v>
      </c>
      <c r="C10" s="69" t="s">
        <v>71</v>
      </c>
      <c r="D10" s="17">
        <f>ChiKCB_2021!P10</f>
        <v>14945</v>
      </c>
      <c r="E10" s="17">
        <f>ChiKCB_2021!Q10</f>
        <v>39649.814749160236</v>
      </c>
      <c r="F10" s="17">
        <f>ChiKCB_2021!R10</f>
        <v>144105</v>
      </c>
      <c r="G10" s="17">
        <f>ChiKCB_2021!S10</f>
        <v>27259.738188359723</v>
      </c>
      <c r="H10" s="9">
        <f t="shared" ref="H10:I42" si="0">D10+F10</f>
        <v>159050</v>
      </c>
      <c r="I10" s="9">
        <f t="shared" si="0"/>
        <v>66909.552937519955</v>
      </c>
      <c r="J10" s="8">
        <f>Tongmucthanhtoan2019_2021!N11</f>
        <v>66187.846168686563</v>
      </c>
      <c r="K10" s="8">
        <f t="shared" ref="K10:K42" si="1">IF(I10-J10&gt;0,I10-J10,0)</f>
        <v>721.70676883339183</v>
      </c>
      <c r="L10" s="8">
        <f t="shared" ref="L10:L42" si="2">I10-K10</f>
        <v>66187.846168686563</v>
      </c>
      <c r="M10" s="17">
        <f>D10+Giatang2022!S9</f>
        <v>21387.961916941</v>
      </c>
      <c r="N10" s="17">
        <f>E10+Giatang2022!T9</f>
        <v>56105.517176318215</v>
      </c>
      <c r="O10" s="17">
        <f>F10+Giatang2022!U9</f>
        <v>170573.98687494901</v>
      </c>
      <c r="P10" s="17">
        <f>G10+Giatang2022!V9</f>
        <v>32165.524780864933</v>
      </c>
      <c r="Q10" s="9">
        <f t="shared" ref="Q10:R42" si="3">M10+O10</f>
        <v>191961.94879189</v>
      </c>
      <c r="R10" s="9">
        <f t="shared" si="3"/>
        <v>88271.041957183144</v>
      </c>
      <c r="S10" s="8">
        <f>Tongmuc2022!K11</f>
        <v>88211.317110573524</v>
      </c>
      <c r="T10" s="8">
        <f t="shared" ref="T10:T42" si="4">IF(R10-S10&gt;0,R10-S10,0)</f>
        <v>59.724846609620727</v>
      </c>
      <c r="U10" s="8">
        <f t="shared" ref="U10:U42" si="5">R10-T10</f>
        <v>88211.317110573524</v>
      </c>
      <c r="V10" s="45"/>
    </row>
    <row r="11" spans="1:22">
      <c r="A11" s="6">
        <v>3</v>
      </c>
      <c r="B11" s="7" t="s">
        <v>15</v>
      </c>
      <c r="C11" s="69" t="s">
        <v>72</v>
      </c>
      <c r="D11" s="17">
        <f>ChiKCB_2021!P11</f>
        <v>9576</v>
      </c>
      <c r="E11" s="17">
        <f>ChiKCB_2021!Q11</f>
        <v>16150.014230135281</v>
      </c>
      <c r="F11" s="17">
        <f>ChiKCB_2021!R11</f>
        <v>127428</v>
      </c>
      <c r="G11" s="17">
        <f>ChiKCB_2021!S11</f>
        <v>16861.548040676975</v>
      </c>
      <c r="H11" s="9">
        <f t="shared" si="0"/>
        <v>137004</v>
      </c>
      <c r="I11" s="9">
        <f t="shared" si="0"/>
        <v>33011.562270812254</v>
      </c>
      <c r="J11" s="8">
        <f>Tongmucthanhtoan2019_2021!N12</f>
        <v>29943.943349172208</v>
      </c>
      <c r="K11" s="8">
        <f t="shared" si="1"/>
        <v>3067.6189216400453</v>
      </c>
      <c r="L11" s="8">
        <f t="shared" si="2"/>
        <v>29943.943349172208</v>
      </c>
      <c r="M11" s="17">
        <f>D11+Giatang2022!S10</f>
        <v>12244.3024825088</v>
      </c>
      <c r="N11" s="17">
        <f>E11+Giatang2022!T10</f>
        <v>20513.466222936662</v>
      </c>
      <c r="O11" s="17">
        <f>F11+Giatang2022!U10</f>
        <v>159648.6525035864</v>
      </c>
      <c r="P11" s="17">
        <f>G11+Giatang2022!V10</f>
        <v>21004.111688201934</v>
      </c>
      <c r="Q11" s="9">
        <f t="shared" si="3"/>
        <v>171892.9549860952</v>
      </c>
      <c r="R11" s="9">
        <f t="shared" si="3"/>
        <v>41517.577911138593</v>
      </c>
      <c r="S11" s="8">
        <f>Tongmuc2022!K12</f>
        <v>37998.827400855982</v>
      </c>
      <c r="T11" s="8">
        <f t="shared" si="4"/>
        <v>3518.7505102826108</v>
      </c>
      <c r="U11" s="8">
        <f t="shared" si="5"/>
        <v>37998.827400855982</v>
      </c>
      <c r="V11" s="45"/>
    </row>
    <row r="12" spans="1:22">
      <c r="A12" s="6">
        <v>4</v>
      </c>
      <c r="B12" s="7" t="s">
        <v>16</v>
      </c>
      <c r="C12" s="69" t="s">
        <v>73</v>
      </c>
      <c r="D12" s="17">
        <f>ChiKCB_2021!P12</f>
        <v>17054</v>
      </c>
      <c r="E12" s="17">
        <f>ChiKCB_2021!Q12</f>
        <v>27323.188013629377</v>
      </c>
      <c r="F12" s="17">
        <f>ChiKCB_2021!R12</f>
        <v>139429</v>
      </c>
      <c r="G12" s="17">
        <f>ChiKCB_2021!S12</f>
        <v>16748.007116056226</v>
      </c>
      <c r="H12" s="9">
        <f t="shared" si="0"/>
        <v>156483</v>
      </c>
      <c r="I12" s="9">
        <f t="shared" si="0"/>
        <v>44071.195129685599</v>
      </c>
      <c r="J12" s="8">
        <f>Tongmucthanhtoan2019_2021!N13</f>
        <v>41544.014661676323</v>
      </c>
      <c r="K12" s="8">
        <f t="shared" si="1"/>
        <v>2527.1804680092755</v>
      </c>
      <c r="L12" s="8">
        <f t="shared" si="2"/>
        <v>41544.014661676323</v>
      </c>
      <c r="M12" s="17">
        <f>D12+Giatang2022!S11</f>
        <v>23194.36656273792</v>
      </c>
      <c r="N12" s="17">
        <f>E12+Giatang2022!T11</f>
        <v>36818.586426883718</v>
      </c>
      <c r="O12" s="17">
        <f>F12+Giatang2022!U11</f>
        <v>193100.9305990602</v>
      </c>
      <c r="P12" s="17">
        <f>G12+Giatang2022!V11</f>
        <v>22964.262668715637</v>
      </c>
      <c r="Q12" s="9">
        <f t="shared" si="3"/>
        <v>216295.29716179811</v>
      </c>
      <c r="R12" s="9">
        <f t="shared" si="3"/>
        <v>59782.849095599355</v>
      </c>
      <c r="S12" s="8">
        <f>Tongmuc2022!K13</f>
        <v>57010.9927141894</v>
      </c>
      <c r="T12" s="8">
        <f t="shared" si="4"/>
        <v>2771.8563814099543</v>
      </c>
      <c r="U12" s="8">
        <f t="shared" si="5"/>
        <v>57010.9927141894</v>
      </c>
      <c r="V12" s="45"/>
    </row>
    <row r="13" spans="1:22">
      <c r="A13" s="6">
        <v>5</v>
      </c>
      <c r="B13" s="7" t="s">
        <v>17</v>
      </c>
      <c r="C13" s="69" t="s">
        <v>74</v>
      </c>
      <c r="D13" s="17">
        <f>ChiKCB_2021!P13</f>
        <v>9994</v>
      </c>
      <c r="E13" s="17">
        <f>ChiKCB_2021!Q13</f>
        <v>20001.834350281562</v>
      </c>
      <c r="F13" s="17">
        <f>ChiKCB_2021!R13</f>
        <v>206990</v>
      </c>
      <c r="G13" s="17">
        <f>ChiKCB_2021!S13</f>
        <v>25343.62172799882</v>
      </c>
      <c r="H13" s="9">
        <f t="shared" si="0"/>
        <v>216984</v>
      </c>
      <c r="I13" s="9">
        <f t="shared" si="0"/>
        <v>45345.456078280382</v>
      </c>
      <c r="J13" s="8">
        <f>Tongmucthanhtoan2019_2021!N14</f>
        <v>42870.609068818361</v>
      </c>
      <c r="K13" s="8">
        <f t="shared" si="1"/>
        <v>2474.8470094620207</v>
      </c>
      <c r="L13" s="8">
        <f t="shared" si="2"/>
        <v>42870.609068818361</v>
      </c>
      <c r="M13" s="17">
        <f>D13+Giatang2022!S12</f>
        <v>13065.818257509371</v>
      </c>
      <c r="N13" s="17">
        <f>E13+Giatang2022!T12</f>
        <v>25951.738675135108</v>
      </c>
      <c r="O13" s="17">
        <f>F13+Giatang2022!U12</f>
        <v>258157.34188886199</v>
      </c>
      <c r="P13" s="17">
        <f>G13+Giatang2022!V12</f>
        <v>31433.879290807985</v>
      </c>
      <c r="Q13" s="9">
        <f t="shared" si="3"/>
        <v>271223.16014637135</v>
      </c>
      <c r="R13" s="9">
        <f t="shared" si="3"/>
        <v>57385.617965943093</v>
      </c>
      <c r="S13" s="8">
        <f>Tongmuc2022!K14</f>
        <v>54763.953025888433</v>
      </c>
      <c r="T13" s="8">
        <f t="shared" si="4"/>
        <v>2621.6649400546594</v>
      </c>
      <c r="U13" s="8">
        <f t="shared" si="5"/>
        <v>54763.953025888433</v>
      </c>
      <c r="V13" s="45"/>
    </row>
    <row r="14" spans="1:22">
      <c r="A14" s="6">
        <v>6</v>
      </c>
      <c r="B14" s="7" t="s">
        <v>18</v>
      </c>
      <c r="C14" s="69" t="s">
        <v>75</v>
      </c>
      <c r="D14" s="17">
        <f>ChiKCB_2021!P14</f>
        <v>7749</v>
      </c>
      <c r="E14" s="17">
        <f>ChiKCB_2021!Q14</f>
        <v>12811.539115290445</v>
      </c>
      <c r="F14" s="17">
        <f>ChiKCB_2021!R14</f>
        <v>121960</v>
      </c>
      <c r="G14" s="17">
        <f>ChiKCB_2021!S14</f>
        <v>15593.869864436558</v>
      </c>
      <c r="H14" s="9">
        <f t="shared" si="0"/>
        <v>129709</v>
      </c>
      <c r="I14" s="9">
        <f t="shared" si="0"/>
        <v>28405.408979727003</v>
      </c>
      <c r="J14" s="8">
        <f>Tongmucthanhtoan2019_2021!N15</f>
        <v>28351.816720162049</v>
      </c>
      <c r="K14" s="8">
        <f t="shared" si="1"/>
        <v>53.592259564953565</v>
      </c>
      <c r="L14" s="8">
        <f t="shared" si="2"/>
        <v>28351.816720162049</v>
      </c>
      <c r="M14" s="17">
        <f>D14+Giatang2022!S13</f>
        <v>10886.742014076201</v>
      </c>
      <c r="N14" s="17">
        <f>E14+Giatang2022!T13</f>
        <v>18063.273226795074</v>
      </c>
      <c r="O14" s="17">
        <f>F14+Giatang2022!U13</f>
        <v>145743.06544564798</v>
      </c>
      <c r="P14" s="17">
        <f>G14+Giatang2022!V13</f>
        <v>18712.75449366045</v>
      </c>
      <c r="Q14" s="9">
        <f t="shared" si="3"/>
        <v>156629.80745972419</v>
      </c>
      <c r="R14" s="9">
        <f t="shared" si="3"/>
        <v>36776.027720455524</v>
      </c>
      <c r="S14" s="8">
        <f>Tongmuc2022!K15</f>
        <v>36658.057613097466</v>
      </c>
      <c r="T14" s="8">
        <f t="shared" si="4"/>
        <v>117.97010735805816</v>
      </c>
      <c r="U14" s="8">
        <f t="shared" si="5"/>
        <v>36658.057613097466</v>
      </c>
      <c r="V14" s="45"/>
    </row>
    <row r="15" spans="1:22">
      <c r="A15" s="6">
        <v>7</v>
      </c>
      <c r="B15" s="7" t="s">
        <v>19</v>
      </c>
      <c r="C15" s="69" t="s">
        <v>77</v>
      </c>
      <c r="D15" s="17">
        <f>ChiKCB_2021!P15</f>
        <v>6864</v>
      </c>
      <c r="E15" s="17">
        <f>ChiKCB_2021!Q15</f>
        <v>13245.204270700875</v>
      </c>
      <c r="F15" s="17">
        <f>ChiKCB_2021!R15</f>
        <v>70332</v>
      </c>
      <c r="G15" s="17">
        <f>ChiKCB_2021!S15</f>
        <v>7858.7750550891315</v>
      </c>
      <c r="H15" s="9">
        <f t="shared" si="0"/>
        <v>77196</v>
      </c>
      <c r="I15" s="9">
        <f t="shared" si="0"/>
        <v>21103.979325790006</v>
      </c>
      <c r="J15" s="8">
        <f>Tongmucthanhtoan2019_2021!N16</f>
        <v>19909.833463881645</v>
      </c>
      <c r="K15" s="8">
        <f t="shared" si="1"/>
        <v>1194.1458619083605</v>
      </c>
      <c r="L15" s="8">
        <f t="shared" si="2"/>
        <v>19909.833463881645</v>
      </c>
      <c r="M15" s="17">
        <f>D15+Giatang2022!S14</f>
        <v>9711.3391907119203</v>
      </c>
      <c r="N15" s="17">
        <f>E15+Giatang2022!T14</f>
        <v>18537.339359230595</v>
      </c>
      <c r="O15" s="17">
        <f>F15+Giatang2022!U14</f>
        <v>101764.6934171016</v>
      </c>
      <c r="P15" s="17">
        <f>G15+Giatang2022!V14</f>
        <v>11238.385195736319</v>
      </c>
      <c r="Q15" s="9">
        <f t="shared" si="3"/>
        <v>111476.03260781353</v>
      </c>
      <c r="R15" s="9">
        <f t="shared" si="3"/>
        <v>29775.724554966913</v>
      </c>
      <c r="S15" s="8">
        <f>Tongmuc2022!K16</f>
        <v>28463.696087148004</v>
      </c>
      <c r="T15" s="8">
        <f t="shared" si="4"/>
        <v>1312.0284678189091</v>
      </c>
      <c r="U15" s="8">
        <f t="shared" si="5"/>
        <v>28463.696087148004</v>
      </c>
      <c r="V15" s="45"/>
    </row>
    <row r="16" spans="1:22">
      <c r="A16" s="6">
        <v>8</v>
      </c>
      <c r="B16" s="7" t="s">
        <v>20</v>
      </c>
      <c r="C16" s="69" t="s">
        <v>78</v>
      </c>
      <c r="D16" s="17">
        <f>ChiKCB_2021!P16</f>
        <v>5938</v>
      </c>
      <c r="E16" s="17">
        <f>ChiKCB_2021!Q16</f>
        <v>10043.865168441691</v>
      </c>
      <c r="F16" s="17">
        <f>ChiKCB_2021!R16</f>
        <v>63530</v>
      </c>
      <c r="G16" s="17">
        <f>ChiKCB_2021!S16</f>
        <v>8113.1781234913969</v>
      </c>
      <c r="H16" s="9">
        <f t="shared" si="0"/>
        <v>69468</v>
      </c>
      <c r="I16" s="9">
        <f t="shared" si="0"/>
        <v>18157.043291933089</v>
      </c>
      <c r="J16" s="8">
        <f>Tongmucthanhtoan2019_2021!N17</f>
        <v>16947.799538375966</v>
      </c>
      <c r="K16" s="8">
        <f t="shared" si="1"/>
        <v>1209.2437535571225</v>
      </c>
      <c r="L16" s="8">
        <f t="shared" si="2"/>
        <v>16947.799538375966</v>
      </c>
      <c r="M16" s="17">
        <f>D16+Giatang2022!S15</f>
        <v>7819.3300366243993</v>
      </c>
      <c r="N16" s="17">
        <f>E16+Giatang2022!T15</f>
        <v>13121.882572000166</v>
      </c>
      <c r="O16" s="17">
        <f>F16+Giatang2022!U15</f>
        <v>76273.724629857199</v>
      </c>
      <c r="P16" s="17">
        <f>G16+Giatang2022!V15</f>
        <v>9703.6378387857803</v>
      </c>
      <c r="Q16" s="9">
        <f t="shared" si="3"/>
        <v>84093.054666481592</v>
      </c>
      <c r="R16" s="9">
        <f t="shared" si="3"/>
        <v>22825.520410785946</v>
      </c>
      <c r="S16" s="8">
        <f>Tongmuc2022!K17</f>
        <v>21485.824888738087</v>
      </c>
      <c r="T16" s="8">
        <f t="shared" si="4"/>
        <v>1339.6955220478594</v>
      </c>
      <c r="U16" s="8">
        <f t="shared" si="5"/>
        <v>21485.824888738087</v>
      </c>
      <c r="V16" s="45"/>
    </row>
    <row r="17" spans="1:22">
      <c r="A17" s="6">
        <v>9</v>
      </c>
      <c r="B17" s="7" t="s">
        <v>21</v>
      </c>
      <c r="C17" s="69" t="s">
        <v>79</v>
      </c>
      <c r="D17" s="17">
        <f>ChiKCB_2021!P17</f>
        <v>10897</v>
      </c>
      <c r="E17" s="17">
        <f>ChiKCB_2021!Q17</f>
        <v>17506.757049441188</v>
      </c>
      <c r="F17" s="17">
        <f>ChiKCB_2021!R17</f>
        <v>101257</v>
      </c>
      <c r="G17" s="17">
        <f>ChiKCB_2021!S17</f>
        <v>17528.111956981371</v>
      </c>
      <c r="H17" s="9">
        <f t="shared" si="0"/>
        <v>112154</v>
      </c>
      <c r="I17" s="9">
        <f t="shared" si="0"/>
        <v>35034.869006422559</v>
      </c>
      <c r="J17" s="8">
        <f>Tongmucthanhtoan2019_2021!N18</f>
        <v>33838.801176427529</v>
      </c>
      <c r="K17" s="8">
        <f t="shared" si="1"/>
        <v>1196.0678299950305</v>
      </c>
      <c r="L17" s="8">
        <f t="shared" si="2"/>
        <v>33838.801176427529</v>
      </c>
      <c r="M17" s="17">
        <f>D17+Giatang2022!S16</f>
        <v>14270.05419862736</v>
      </c>
      <c r="N17" s="17">
        <f>E17+Giatang2022!T16</f>
        <v>22750.603653198559</v>
      </c>
      <c r="O17" s="17">
        <f>F17+Giatang2022!U16</f>
        <v>115638.9671093666</v>
      </c>
      <c r="P17" s="17">
        <f>G17+Giatang2022!V16</f>
        <v>19989.104184968106</v>
      </c>
      <c r="Q17" s="9">
        <f t="shared" si="3"/>
        <v>129909.02130799396</v>
      </c>
      <c r="R17" s="9">
        <f t="shared" si="3"/>
        <v>42739.707838166665</v>
      </c>
      <c r="S17" s="8">
        <f>Tongmuc2022!K18</f>
        <v>41577.523880924404</v>
      </c>
      <c r="T17" s="8">
        <f t="shared" si="4"/>
        <v>1162.1839572422614</v>
      </c>
      <c r="U17" s="8">
        <f t="shared" si="5"/>
        <v>41577.523880924404</v>
      </c>
      <c r="V17" s="45"/>
    </row>
    <row r="18" spans="1:22">
      <c r="A18" s="6">
        <v>10</v>
      </c>
      <c r="B18" s="7" t="s">
        <v>22</v>
      </c>
      <c r="C18" s="69" t="s">
        <v>80</v>
      </c>
      <c r="D18" s="17">
        <f>ChiKCB_2021!P18</f>
        <v>2231</v>
      </c>
      <c r="E18" s="17">
        <f>ChiKCB_2021!Q18</f>
        <v>2943.3102012150416</v>
      </c>
      <c r="F18" s="17">
        <f>ChiKCB_2021!R18</f>
        <v>28404</v>
      </c>
      <c r="G18" s="17">
        <f>ChiKCB_2021!S18</f>
        <v>3562.646513762269</v>
      </c>
      <c r="H18" s="9">
        <f t="shared" si="0"/>
        <v>30635</v>
      </c>
      <c r="I18" s="9">
        <f t="shared" si="0"/>
        <v>6505.9567149773102</v>
      </c>
      <c r="J18" s="8">
        <f>Tongmucthanhtoan2019_2021!N19</f>
        <v>6213.5637130014511</v>
      </c>
      <c r="K18" s="8">
        <f t="shared" si="1"/>
        <v>292.39300197585908</v>
      </c>
      <c r="L18" s="8">
        <f t="shared" si="2"/>
        <v>6213.5637130014511</v>
      </c>
      <c r="M18" s="17">
        <f>D18+Giatang2022!S17</f>
        <v>2919.1614654477999</v>
      </c>
      <c r="N18" s="17">
        <f>E18+Giatang2022!T17</f>
        <v>3821.8928638511074</v>
      </c>
      <c r="O18" s="17">
        <f>F18+Giatang2022!U17</f>
        <v>34968.4434904152</v>
      </c>
      <c r="P18" s="17">
        <f>G18+Giatang2022!V17</f>
        <v>4364.3286744243915</v>
      </c>
      <c r="Q18" s="9">
        <f t="shared" si="3"/>
        <v>37887.604955863004</v>
      </c>
      <c r="R18" s="9">
        <f t="shared" si="3"/>
        <v>8186.2215382754985</v>
      </c>
      <c r="S18" s="8">
        <f>Tongmuc2022!K19</f>
        <v>7888.9270150638422</v>
      </c>
      <c r="T18" s="8">
        <f t="shared" si="4"/>
        <v>297.29452321165627</v>
      </c>
      <c r="U18" s="8">
        <f t="shared" si="5"/>
        <v>7888.9270150638422</v>
      </c>
      <c r="V18" s="45"/>
    </row>
    <row r="19" spans="1:22">
      <c r="A19" s="6">
        <v>11</v>
      </c>
      <c r="B19" s="7" t="s">
        <v>23</v>
      </c>
      <c r="C19" s="69" t="s">
        <v>81</v>
      </c>
      <c r="D19" s="17">
        <f>ChiKCB_2021!P19</f>
        <v>5749</v>
      </c>
      <c r="E19" s="17">
        <f>ChiKCB_2021!Q19</f>
        <v>9227.7598264903427</v>
      </c>
      <c r="F19" s="17">
        <f>ChiKCB_2021!R19</f>
        <v>52260</v>
      </c>
      <c r="G19" s="17">
        <f>ChiKCB_2021!S19</f>
        <v>6551.4015509456167</v>
      </c>
      <c r="H19" s="9">
        <f t="shared" si="0"/>
        <v>58009</v>
      </c>
      <c r="I19" s="9">
        <f t="shared" si="0"/>
        <v>15779.161377435959</v>
      </c>
      <c r="J19" s="8">
        <f>Tongmucthanhtoan2019_2021!N20</f>
        <v>15280.063369171739</v>
      </c>
      <c r="K19" s="8">
        <f t="shared" si="1"/>
        <v>499.09800826421997</v>
      </c>
      <c r="L19" s="8">
        <f t="shared" si="2"/>
        <v>15280.063369171739</v>
      </c>
      <c r="M19" s="17">
        <f>D19+Giatang2022!S18</f>
        <v>6919.9672527888706</v>
      </c>
      <c r="N19" s="17">
        <f>E19+Giatang2022!T18</f>
        <v>11063.786959008396</v>
      </c>
      <c r="O19" s="17">
        <f>F19+Giatang2022!U18</f>
        <v>58775.827313466798</v>
      </c>
      <c r="P19" s="17">
        <f>G19+Giatang2022!V18</f>
        <v>7363.231041363143</v>
      </c>
      <c r="Q19" s="9">
        <f t="shared" si="3"/>
        <v>65695.794566255674</v>
      </c>
      <c r="R19" s="9">
        <f t="shared" si="3"/>
        <v>18427.01800037154</v>
      </c>
      <c r="S19" s="8">
        <f>Tongmuc2022!K20</f>
        <v>17927.98086620204</v>
      </c>
      <c r="T19" s="8">
        <f t="shared" si="4"/>
        <v>499.03713416949904</v>
      </c>
      <c r="U19" s="8">
        <f t="shared" si="5"/>
        <v>17927.98086620204</v>
      </c>
      <c r="V19" s="45"/>
    </row>
    <row r="20" spans="1:22">
      <c r="A20" s="6">
        <v>12</v>
      </c>
      <c r="B20" s="7" t="s">
        <v>24</v>
      </c>
      <c r="C20" s="69" t="s">
        <v>82</v>
      </c>
      <c r="D20" s="17">
        <f>ChiKCB_2021!P20</f>
        <v>3271</v>
      </c>
      <c r="E20" s="17">
        <f>ChiKCB_2021!Q20</f>
        <v>4139.3158765433336</v>
      </c>
      <c r="F20" s="17">
        <f>ChiKCB_2021!R20</f>
        <v>23432</v>
      </c>
      <c r="G20" s="17">
        <f>ChiKCB_2021!S20</f>
        <v>3718.9527535737216</v>
      </c>
      <c r="H20" s="9">
        <f t="shared" si="0"/>
        <v>26703</v>
      </c>
      <c r="I20" s="9">
        <f t="shared" si="0"/>
        <v>7858.2686301170552</v>
      </c>
      <c r="J20" s="8">
        <f>Tongmucthanhtoan2019_2021!N21</f>
        <v>7084.7731205072132</v>
      </c>
      <c r="K20" s="8">
        <f t="shared" si="1"/>
        <v>773.49550960984197</v>
      </c>
      <c r="L20" s="8">
        <f t="shared" si="2"/>
        <v>7084.7731205072132</v>
      </c>
      <c r="M20" s="17">
        <f>D20+Giatang2022!S19</f>
        <v>4790.1447298024577</v>
      </c>
      <c r="N20" s="17">
        <f>E20+Giatang2022!T19</f>
        <v>5988.2523103881858</v>
      </c>
      <c r="O20" s="17">
        <f>F20+Giatang2022!U19</f>
        <v>27931.213127195078</v>
      </c>
      <c r="P20" s="17">
        <f>G20+Giatang2022!V19</f>
        <v>4417.6729855609283</v>
      </c>
      <c r="Q20" s="9">
        <f t="shared" si="3"/>
        <v>32721.357856997536</v>
      </c>
      <c r="R20" s="9">
        <f t="shared" si="3"/>
        <v>10405.925295949113</v>
      </c>
      <c r="S20" s="8">
        <f>Tongmuc2022!K21</f>
        <v>9483.9226643019119</v>
      </c>
      <c r="T20" s="8">
        <f t="shared" si="4"/>
        <v>922.00263164720127</v>
      </c>
      <c r="U20" s="8">
        <f t="shared" si="5"/>
        <v>9483.9226643019119</v>
      </c>
      <c r="V20" s="45"/>
    </row>
    <row r="21" spans="1:22">
      <c r="A21" s="6">
        <v>13</v>
      </c>
      <c r="B21" s="7" t="s">
        <v>25</v>
      </c>
      <c r="C21" s="69" t="s">
        <v>83</v>
      </c>
      <c r="D21" s="17">
        <f>ChiKCB_2021!P21</f>
        <v>25807</v>
      </c>
      <c r="E21" s="17">
        <f>ChiKCB_2021!Q21</f>
        <v>64223.15979671551</v>
      </c>
      <c r="F21" s="17">
        <f>ChiKCB_2021!R21</f>
        <v>124789</v>
      </c>
      <c r="G21" s="17">
        <f>ChiKCB_2021!S21</f>
        <v>21194.265660013793</v>
      </c>
      <c r="H21" s="9">
        <f t="shared" si="0"/>
        <v>150596</v>
      </c>
      <c r="I21" s="9">
        <f t="shared" si="0"/>
        <v>85417.42545672931</v>
      </c>
      <c r="J21" s="8">
        <f>Tongmucthanhtoan2019_2021!N22</f>
        <v>83591.012651415993</v>
      </c>
      <c r="K21" s="8">
        <f t="shared" si="1"/>
        <v>1826.4128053133172</v>
      </c>
      <c r="L21" s="8">
        <f t="shared" si="2"/>
        <v>83591.012651415993</v>
      </c>
      <c r="M21" s="17">
        <f>D21+Giatang2022!S20</f>
        <v>33612.211347233642</v>
      </c>
      <c r="N21" s="17">
        <f>E21+Giatang2022!T20</f>
        <v>83027.266650466714</v>
      </c>
      <c r="O21" s="17">
        <f>F21+Giatang2022!U20</f>
        <v>144501.93902684216</v>
      </c>
      <c r="P21" s="17">
        <f>G21+Giatang2022!V20</f>
        <v>24490.856871580974</v>
      </c>
      <c r="Q21" s="9">
        <f t="shared" si="3"/>
        <v>178114.15037407581</v>
      </c>
      <c r="R21" s="9">
        <f t="shared" si="3"/>
        <v>107518.12352204768</v>
      </c>
      <c r="S21" s="8">
        <f>Tongmuc2022!K22</f>
        <v>105998.87585823314</v>
      </c>
      <c r="T21" s="8">
        <f t="shared" si="4"/>
        <v>1519.2476638145454</v>
      </c>
      <c r="U21" s="8">
        <f t="shared" si="5"/>
        <v>105998.87585823314</v>
      </c>
      <c r="V21" s="45"/>
    </row>
    <row r="22" spans="1:22">
      <c r="A22" s="6">
        <v>14</v>
      </c>
      <c r="B22" s="7" t="s">
        <v>26</v>
      </c>
      <c r="C22" s="69" t="s">
        <v>84</v>
      </c>
      <c r="D22" s="17">
        <f>ChiKCB_2021!P22</f>
        <v>1856</v>
      </c>
      <c r="E22" s="17">
        <f>ChiKCB_2021!Q22</f>
        <v>5664.8464853609221</v>
      </c>
      <c r="F22" s="17">
        <f>ChiKCB_2021!R22</f>
        <v>6277</v>
      </c>
      <c r="G22" s="17">
        <f>ChiKCB_2021!S22</f>
        <v>1352.3322738686265</v>
      </c>
      <c r="H22" s="9">
        <f t="shared" si="0"/>
        <v>8133</v>
      </c>
      <c r="I22" s="9">
        <f t="shared" si="0"/>
        <v>7017.1787592295486</v>
      </c>
      <c r="J22" s="8">
        <f>Tongmucthanhtoan2019_2021!N23</f>
        <v>7902.7095377177902</v>
      </c>
      <c r="K22" s="8">
        <f t="shared" si="1"/>
        <v>0</v>
      </c>
      <c r="L22" s="8">
        <f t="shared" si="2"/>
        <v>7017.1787592295486</v>
      </c>
      <c r="M22" s="17">
        <f>D22+Giatang2022!S21</f>
        <v>3101.4420000775763</v>
      </c>
      <c r="N22" s="17">
        <f>E22+Giatang2022!T21</f>
        <v>9494.4841535960968</v>
      </c>
      <c r="O22" s="17">
        <f>F22+Giatang2022!U21</f>
        <v>11910.607015842601</v>
      </c>
      <c r="P22" s="17">
        <f>G22+Giatang2022!V21</f>
        <v>2572.8120467270046</v>
      </c>
      <c r="Q22" s="9">
        <f t="shared" si="3"/>
        <v>15012.049015920176</v>
      </c>
      <c r="R22" s="9">
        <f t="shared" si="3"/>
        <v>12067.2962003231</v>
      </c>
      <c r="S22" s="8">
        <f>Tongmuc2022!K23</f>
        <v>12045.040605784543</v>
      </c>
      <c r="T22" s="8">
        <f t="shared" si="4"/>
        <v>22.255594538557489</v>
      </c>
      <c r="U22" s="8">
        <f t="shared" si="5"/>
        <v>12045.040605784543</v>
      </c>
      <c r="V22" s="45"/>
    </row>
    <row r="23" spans="1:22">
      <c r="A23" s="6">
        <v>15</v>
      </c>
      <c r="B23" s="7" t="s">
        <v>27</v>
      </c>
      <c r="C23" s="69" t="s">
        <v>85</v>
      </c>
      <c r="D23" s="17">
        <f>ChiKCB_2021!P23</f>
        <v>2501</v>
      </c>
      <c r="E23" s="17">
        <f>ChiKCB_2021!Q23</f>
        <v>8009.9363737504555</v>
      </c>
      <c r="F23" s="17">
        <f>ChiKCB_2021!R23</f>
        <v>1646</v>
      </c>
      <c r="G23" s="17">
        <f>ChiKCB_2021!S23</f>
        <v>292.1298018428302</v>
      </c>
      <c r="H23" s="9">
        <f t="shared" si="0"/>
        <v>4147</v>
      </c>
      <c r="I23" s="9">
        <f t="shared" si="0"/>
        <v>8302.0661755932852</v>
      </c>
      <c r="J23" s="8">
        <f>Tongmucthanhtoan2019_2021!N24</f>
        <v>10012.301823873613</v>
      </c>
      <c r="K23" s="8">
        <f t="shared" si="1"/>
        <v>0</v>
      </c>
      <c r="L23" s="8">
        <f t="shared" si="2"/>
        <v>8302.0661755932852</v>
      </c>
      <c r="M23" s="17">
        <f>D23+Giatang2022!S22</f>
        <v>3348.0577614106214</v>
      </c>
      <c r="N23" s="17">
        <f>E23+Giatang2022!T22</f>
        <v>10762.852418590246</v>
      </c>
      <c r="O23" s="17">
        <f>F23+Giatang2022!U22</f>
        <v>1990.5162062748</v>
      </c>
      <c r="P23" s="17">
        <f>G23+Giatang2022!V22</f>
        <v>354.73471031176547</v>
      </c>
      <c r="Q23" s="9">
        <f t="shared" si="3"/>
        <v>5338.5739676854209</v>
      </c>
      <c r="R23" s="9">
        <f t="shared" si="3"/>
        <v>11117.587128902012</v>
      </c>
      <c r="S23" s="8">
        <f>Tongmuc2022!K24</f>
        <v>11077.843221944575</v>
      </c>
      <c r="T23" s="8">
        <f t="shared" si="4"/>
        <v>39.743906957437503</v>
      </c>
      <c r="U23" s="8">
        <f t="shared" si="5"/>
        <v>11077.843221944575</v>
      </c>
      <c r="V23" s="45"/>
    </row>
    <row r="24" spans="1:22">
      <c r="A24" s="6">
        <v>16</v>
      </c>
      <c r="B24" s="7" t="s">
        <v>28</v>
      </c>
      <c r="C24" s="69" t="s">
        <v>86</v>
      </c>
      <c r="D24" s="17">
        <f>ChiKCB_2021!P24</f>
        <v>3796</v>
      </c>
      <c r="E24" s="17">
        <f>ChiKCB_2021!Q24</f>
        <v>17323.438045027611</v>
      </c>
      <c r="F24" s="17">
        <f>ChiKCB_2021!R24</f>
        <v>3818</v>
      </c>
      <c r="G24" s="17">
        <f>ChiKCB_2021!S24</f>
        <v>1604.1617857059616</v>
      </c>
      <c r="H24" s="9">
        <f t="shared" si="0"/>
        <v>7614</v>
      </c>
      <c r="I24" s="9">
        <f t="shared" si="0"/>
        <v>18927.599830733572</v>
      </c>
      <c r="J24" s="8">
        <f>Tongmucthanhtoan2019_2021!N25</f>
        <v>27514.598130654795</v>
      </c>
      <c r="K24" s="8">
        <f t="shared" si="1"/>
        <v>0</v>
      </c>
      <c r="L24" s="8">
        <f t="shared" si="2"/>
        <v>18927.599830733572</v>
      </c>
      <c r="M24" s="17">
        <f>D24+Giatang2022!S23</f>
        <v>5161.5034481573166</v>
      </c>
      <c r="N24" s="17">
        <f>E24+Giatang2022!T23</f>
        <v>23641.671248009556</v>
      </c>
      <c r="O24" s="17">
        <f>F24+Giatang2022!U23</f>
        <v>4284.10302736632</v>
      </c>
      <c r="P24" s="17">
        <f>G24+Giatang2022!V23</f>
        <v>1808.0193323775272</v>
      </c>
      <c r="Q24" s="9">
        <f t="shared" si="3"/>
        <v>9445.6064755236366</v>
      </c>
      <c r="R24" s="9">
        <f t="shared" si="3"/>
        <v>25449.690580387083</v>
      </c>
      <c r="S24" s="8">
        <f>Tongmuc2022!K25</f>
        <v>25364.052691625937</v>
      </c>
      <c r="T24" s="8">
        <f t="shared" si="4"/>
        <v>85.637888761146314</v>
      </c>
      <c r="U24" s="8">
        <f t="shared" si="5"/>
        <v>25364.052691625937</v>
      </c>
      <c r="V24" s="45"/>
    </row>
    <row r="25" spans="1:22">
      <c r="A25" s="6">
        <v>17</v>
      </c>
      <c r="B25" s="7" t="s">
        <v>29</v>
      </c>
      <c r="C25" s="69" t="s">
        <v>87</v>
      </c>
      <c r="D25" s="17">
        <f>ChiKCB_2021!P25</f>
        <v>2118</v>
      </c>
      <c r="E25" s="17">
        <f>ChiKCB_2021!Q25</f>
        <v>7467.9819875056946</v>
      </c>
      <c r="F25" s="17">
        <f>ChiKCB_2021!R25</f>
        <v>17018</v>
      </c>
      <c r="G25" s="17">
        <f>ChiKCB_2021!S25</f>
        <v>5123.7350640650293</v>
      </c>
      <c r="H25" s="9">
        <f t="shared" si="0"/>
        <v>19136</v>
      </c>
      <c r="I25" s="9">
        <f t="shared" si="0"/>
        <v>12591.717051570724</v>
      </c>
      <c r="J25" s="8">
        <f>Tongmucthanhtoan2019_2021!N26</f>
        <v>15667.229211726408</v>
      </c>
      <c r="K25" s="8">
        <f t="shared" si="1"/>
        <v>0</v>
      </c>
      <c r="L25" s="8">
        <f t="shared" si="2"/>
        <v>12591.717051570724</v>
      </c>
      <c r="M25" s="17">
        <f>D25+Giatang2022!S24</f>
        <v>2259.9164035941399</v>
      </c>
      <c r="N25" s="17">
        <f>E25+Giatang2022!T24</f>
        <v>8005.7133732565499</v>
      </c>
      <c r="O25" s="17">
        <f>F25+Giatang2022!U24</f>
        <v>19935.182443328402</v>
      </c>
      <c r="P25" s="17">
        <f>G25+Giatang2022!V24</f>
        <v>6027.6514226123272</v>
      </c>
      <c r="Q25" s="9">
        <f t="shared" si="3"/>
        <v>22195.098846922541</v>
      </c>
      <c r="R25" s="9">
        <f t="shared" si="3"/>
        <v>14033.364795868878</v>
      </c>
      <c r="S25" s="8">
        <f>Tongmuc2022!K26</f>
        <v>14000.416414189351</v>
      </c>
      <c r="T25" s="8">
        <f t="shared" si="4"/>
        <v>32.948381679527301</v>
      </c>
      <c r="U25" s="8">
        <f t="shared" si="5"/>
        <v>14000.416414189351</v>
      </c>
      <c r="V25" s="45"/>
    </row>
    <row r="26" spans="1:22">
      <c r="A26" s="6">
        <v>18</v>
      </c>
      <c r="B26" s="7" t="s">
        <v>30</v>
      </c>
      <c r="C26" s="69" t="s">
        <v>88</v>
      </c>
      <c r="D26" s="17">
        <f>ChiKCB_2021!P26</f>
        <v>2744</v>
      </c>
      <c r="E26" s="17">
        <f>ChiKCB_2021!Q26</f>
        <v>11709.258396730322</v>
      </c>
      <c r="F26" s="17">
        <f>ChiKCB_2021!R26</f>
        <v>2882</v>
      </c>
      <c r="G26" s="17">
        <f>ChiKCB_2021!S26</f>
        <v>1077.8760584444658</v>
      </c>
      <c r="H26" s="9">
        <f t="shared" si="0"/>
        <v>5626</v>
      </c>
      <c r="I26" s="9">
        <f t="shared" si="0"/>
        <v>12787.134455174788</v>
      </c>
      <c r="J26" s="8">
        <f>Tongmucthanhtoan2019_2021!N27</f>
        <v>16006.33986365013</v>
      </c>
      <c r="K26" s="8">
        <f t="shared" si="1"/>
        <v>0</v>
      </c>
      <c r="L26" s="8">
        <f t="shared" si="2"/>
        <v>12787.134455174788</v>
      </c>
      <c r="M26" s="17">
        <f>D26+Giatang2022!S25</f>
        <v>3138.1353606240236</v>
      </c>
      <c r="N26" s="17">
        <f>E26+Giatang2022!T25</f>
        <v>13449.667947035834</v>
      </c>
      <c r="O26" s="17">
        <f>F26+Giatang2022!U25</f>
        <v>3446.15647596588</v>
      </c>
      <c r="P26" s="17">
        <f>G26+Giatang2022!V25</f>
        <v>1294.2615382023448</v>
      </c>
      <c r="Q26" s="9">
        <f t="shared" si="3"/>
        <v>6584.2918365899041</v>
      </c>
      <c r="R26" s="9">
        <f t="shared" si="3"/>
        <v>14743.929485238179</v>
      </c>
      <c r="S26" s="8">
        <f>Tongmuc2022!K27</f>
        <v>14686.438240707466</v>
      </c>
      <c r="T26" s="8">
        <f t="shared" si="4"/>
        <v>57.49124453071272</v>
      </c>
      <c r="U26" s="8">
        <f t="shared" si="5"/>
        <v>14686.438240707466</v>
      </c>
      <c r="V26" s="45"/>
    </row>
    <row r="27" spans="1:22">
      <c r="A27" s="6">
        <v>19</v>
      </c>
      <c r="B27" s="7" t="s">
        <v>31</v>
      </c>
      <c r="C27" s="69" t="s">
        <v>89</v>
      </c>
      <c r="D27" s="17">
        <f>ChiKCB_2021!P27</f>
        <v>8730</v>
      </c>
      <c r="E27" s="17">
        <f>ChiKCB_2021!Q27</f>
        <v>33461.64022858844</v>
      </c>
      <c r="F27" s="17">
        <f>ChiKCB_2021!R27</f>
        <v>13643</v>
      </c>
      <c r="G27" s="17">
        <f>ChiKCB_2021!S27</f>
        <v>2802.6499384588901</v>
      </c>
      <c r="H27" s="9">
        <f t="shared" si="0"/>
        <v>22373</v>
      </c>
      <c r="I27" s="9">
        <f t="shared" si="0"/>
        <v>36264.290167047329</v>
      </c>
      <c r="J27" s="8">
        <f>Tongmucthanhtoan2019_2021!N28</f>
        <v>43793.685025816267</v>
      </c>
      <c r="K27" s="8">
        <f t="shared" si="1"/>
        <v>0</v>
      </c>
      <c r="L27" s="8">
        <f t="shared" si="2"/>
        <v>36264.290167047329</v>
      </c>
      <c r="M27" s="17">
        <f>D27+Giatang2022!S26</f>
        <v>10979.533004637802</v>
      </c>
      <c r="N27" s="17">
        <f>E27+Giatang2022!T26</f>
        <v>42251.292540100883</v>
      </c>
      <c r="O27" s="17">
        <f>F27+Giatang2022!U26</f>
        <v>17447.812341402921</v>
      </c>
      <c r="P27" s="17">
        <f>G27+Giatang2022!V26</f>
        <v>3598.2769882303842</v>
      </c>
      <c r="Q27" s="9">
        <f t="shared" si="3"/>
        <v>28427.345346040725</v>
      </c>
      <c r="R27" s="9">
        <f t="shared" si="3"/>
        <v>45849.569528331267</v>
      </c>
      <c r="S27" s="8">
        <f>Tongmuc2022!K28</f>
        <v>45686.169606608644</v>
      </c>
      <c r="T27" s="8">
        <f t="shared" si="4"/>
        <v>163.39992172262282</v>
      </c>
      <c r="U27" s="8">
        <f t="shared" si="5"/>
        <v>45686.169606608644</v>
      </c>
      <c r="V27" s="45"/>
    </row>
    <row r="28" spans="1:22">
      <c r="A28" s="6">
        <v>20</v>
      </c>
      <c r="B28" s="7" t="s">
        <v>32</v>
      </c>
      <c r="C28" s="69" t="s">
        <v>91</v>
      </c>
      <c r="D28" s="17">
        <f>ChiKCB_2021!P28</f>
        <v>7195</v>
      </c>
      <c r="E28" s="17">
        <f>ChiKCB_2021!Q28</f>
        <v>27826.187915167895</v>
      </c>
      <c r="F28" s="17">
        <f>ChiKCB_2021!R28</f>
        <v>21979</v>
      </c>
      <c r="G28" s="17">
        <f>ChiKCB_2021!S28</f>
        <v>6023.1166356756203</v>
      </c>
      <c r="H28" s="9">
        <f t="shared" si="0"/>
        <v>29174</v>
      </c>
      <c r="I28" s="9">
        <f t="shared" si="0"/>
        <v>33849.304550843517</v>
      </c>
      <c r="J28" s="8">
        <f>Tongmucthanhtoan2019_2021!N29</f>
        <v>33497.526730031212</v>
      </c>
      <c r="K28" s="8">
        <f t="shared" si="1"/>
        <v>351.77782081230544</v>
      </c>
      <c r="L28" s="8">
        <f t="shared" si="2"/>
        <v>33497.526730031212</v>
      </c>
      <c r="M28" s="17">
        <f>D28+Giatang2022!S27</f>
        <v>12153.982557990999</v>
      </c>
      <c r="N28" s="17">
        <f>E28+Giatang2022!T27</f>
        <v>47143.856801470291</v>
      </c>
      <c r="O28" s="17">
        <f>F28+Giatang2022!U27</f>
        <v>44876.841422250189</v>
      </c>
      <c r="P28" s="17">
        <f>G28+Giatang2022!V27</f>
        <v>12328.147801520063</v>
      </c>
      <c r="Q28" s="9">
        <f t="shared" si="3"/>
        <v>57030.823980241184</v>
      </c>
      <c r="R28" s="9">
        <f t="shared" si="3"/>
        <v>59472.004602990353</v>
      </c>
      <c r="S28" s="8">
        <f>Tongmuc2022!K29</f>
        <v>58747.946449398747</v>
      </c>
      <c r="T28" s="8">
        <f t="shared" si="4"/>
        <v>724.05815359160624</v>
      </c>
      <c r="U28" s="8">
        <f t="shared" si="5"/>
        <v>58747.946449398747</v>
      </c>
      <c r="V28" s="45"/>
    </row>
    <row r="29" spans="1:22">
      <c r="A29" s="6">
        <v>21</v>
      </c>
      <c r="B29" s="7" t="s">
        <v>33</v>
      </c>
      <c r="C29" s="69" t="s">
        <v>93</v>
      </c>
      <c r="D29" s="17">
        <f>ChiKCB_2021!P29</f>
        <v>3024</v>
      </c>
      <c r="E29" s="17">
        <f>ChiKCB_2021!Q29</f>
        <v>8641.4392041488372</v>
      </c>
      <c r="F29" s="17">
        <f>ChiKCB_2021!R29</f>
        <v>69151</v>
      </c>
      <c r="G29" s="17">
        <f>ChiKCB_2021!S29</f>
        <v>13428.508026090269</v>
      </c>
      <c r="H29" s="9">
        <f t="shared" si="0"/>
        <v>72175</v>
      </c>
      <c r="I29" s="9">
        <f t="shared" si="0"/>
        <v>22069.947230239108</v>
      </c>
      <c r="J29" s="8">
        <f>Tongmucthanhtoan2019_2021!N30</f>
        <v>21504.247592718388</v>
      </c>
      <c r="K29" s="8">
        <f t="shared" si="1"/>
        <v>565.69963752071999</v>
      </c>
      <c r="L29" s="8">
        <f t="shared" si="2"/>
        <v>21504.247592718388</v>
      </c>
      <c r="M29" s="17">
        <f>D29+Giatang2022!S28</f>
        <v>3898.9977103711999</v>
      </c>
      <c r="N29" s="17">
        <f>E29+Giatang2022!T28</f>
        <v>11185.056293668971</v>
      </c>
      <c r="O29" s="17">
        <f>F29+Giatang2022!U28</f>
        <v>75645.935987581237</v>
      </c>
      <c r="P29" s="17">
        <f>G29+Giatang2022!V28</f>
        <v>14756.909261513299</v>
      </c>
      <c r="Q29" s="9">
        <f t="shared" si="3"/>
        <v>79544.933697952438</v>
      </c>
      <c r="R29" s="9">
        <f t="shared" si="3"/>
        <v>25941.965555182273</v>
      </c>
      <c r="S29" s="8">
        <f>Tongmuc2022!K30</f>
        <v>25242.945512820643</v>
      </c>
      <c r="T29" s="8">
        <f t="shared" si="4"/>
        <v>699.02004236162975</v>
      </c>
      <c r="U29" s="8">
        <f t="shared" si="5"/>
        <v>25242.945512820643</v>
      </c>
      <c r="V29" s="45"/>
    </row>
    <row r="30" spans="1:22">
      <c r="A30" s="6">
        <v>22</v>
      </c>
      <c r="B30" s="7" t="s">
        <v>34</v>
      </c>
      <c r="C30" s="69" t="s">
        <v>94</v>
      </c>
      <c r="D30" s="17">
        <f>ChiKCB_2021!P30</f>
        <v>0</v>
      </c>
      <c r="E30" s="17">
        <f>ChiKCB_2021!Q30</f>
        <v>0</v>
      </c>
      <c r="F30" s="17">
        <f>ChiKCB_2021!R30</f>
        <v>8787</v>
      </c>
      <c r="G30" s="17">
        <f>ChiKCB_2021!S30</f>
        <v>1294.7562154218199</v>
      </c>
      <c r="H30" s="9">
        <f t="shared" si="0"/>
        <v>8787</v>
      </c>
      <c r="I30" s="9">
        <f t="shared" si="0"/>
        <v>1294.7562154218199</v>
      </c>
      <c r="J30" s="8">
        <f>Tongmucthanhtoan2019_2021!N31</f>
        <v>1264.7257759603997</v>
      </c>
      <c r="K30" s="8">
        <f t="shared" si="1"/>
        <v>30.030439461420201</v>
      </c>
      <c r="L30" s="8">
        <f t="shared" si="2"/>
        <v>1264.7257759603997</v>
      </c>
      <c r="M30" s="17">
        <f>D30+Giatang2022!S29</f>
        <v>0</v>
      </c>
      <c r="N30" s="17">
        <f>E30+Giatang2022!T29</f>
        <v>0</v>
      </c>
      <c r="O30" s="17">
        <f>F30+Giatang2022!U29</f>
        <v>11400.8071060806</v>
      </c>
      <c r="P30" s="17">
        <f>G30+Giatang2022!V29</f>
        <v>1686.3720240978337</v>
      </c>
      <c r="Q30" s="9">
        <f t="shared" si="3"/>
        <v>11400.8071060806</v>
      </c>
      <c r="R30" s="9">
        <f t="shared" si="3"/>
        <v>1686.3720240978337</v>
      </c>
      <c r="S30" s="8">
        <f>Tongmuc2022!K31</f>
        <v>1649.3343511004596</v>
      </c>
      <c r="T30" s="8">
        <f t="shared" si="4"/>
        <v>37.037672997374102</v>
      </c>
      <c r="U30" s="8">
        <f t="shared" si="5"/>
        <v>1649.3343511004596</v>
      </c>
      <c r="V30" s="45"/>
    </row>
    <row r="31" spans="1:22">
      <c r="A31" s="6">
        <v>23</v>
      </c>
      <c r="B31" s="7" t="s">
        <v>35</v>
      </c>
      <c r="C31" s="69" t="s">
        <v>96</v>
      </c>
      <c r="D31" s="17">
        <f>ChiKCB_2021!P31</f>
        <v>0</v>
      </c>
      <c r="E31" s="17">
        <f>ChiKCB_2021!Q31</f>
        <v>0</v>
      </c>
      <c r="F31" s="17">
        <f>ChiKCB_2021!R31</f>
        <v>111369</v>
      </c>
      <c r="G31" s="17">
        <f>ChiKCB_2021!S31</f>
        <v>12310.906062149144</v>
      </c>
      <c r="H31" s="9">
        <f t="shared" si="0"/>
        <v>111369</v>
      </c>
      <c r="I31" s="9">
        <f t="shared" si="0"/>
        <v>12310.906062149144</v>
      </c>
      <c r="J31" s="8">
        <f>Tongmucthanhtoan2019_2021!N32</f>
        <v>12805.23752236757</v>
      </c>
      <c r="K31" s="8">
        <f t="shared" si="1"/>
        <v>0</v>
      </c>
      <c r="L31" s="8">
        <f t="shared" si="2"/>
        <v>12310.906062149144</v>
      </c>
      <c r="M31" s="17">
        <f>D31+Giatang2022!S30</f>
        <v>0</v>
      </c>
      <c r="N31" s="17">
        <f>E31+Giatang2022!T30</f>
        <v>0</v>
      </c>
      <c r="O31" s="17">
        <f>F31+Giatang2022!U30</f>
        <v>139192.9016722322</v>
      </c>
      <c r="P31" s="17">
        <f>G31+Giatang2022!V30</f>
        <v>15448.158854717116</v>
      </c>
      <c r="Q31" s="9">
        <f t="shared" si="3"/>
        <v>139192.9016722322</v>
      </c>
      <c r="R31" s="9">
        <f t="shared" si="3"/>
        <v>15448.158854717116</v>
      </c>
      <c r="S31" s="8">
        <f>Tongmuc2022!K32</f>
        <v>15463.537346028403</v>
      </c>
      <c r="T31" s="8">
        <f t="shared" si="4"/>
        <v>0</v>
      </c>
      <c r="U31" s="8">
        <f t="shared" si="5"/>
        <v>15448.158854717116</v>
      </c>
      <c r="V31" s="45"/>
    </row>
    <row r="32" spans="1:22">
      <c r="A32" s="6">
        <v>24</v>
      </c>
      <c r="B32" s="7" t="s">
        <v>36</v>
      </c>
      <c r="C32" s="69" t="s">
        <v>98</v>
      </c>
      <c r="D32" s="17">
        <f>ChiKCB_2021!P32</f>
        <v>0</v>
      </c>
      <c r="E32" s="17">
        <f>ChiKCB_2021!Q32</f>
        <v>0</v>
      </c>
      <c r="F32" s="17">
        <f>ChiKCB_2021!R32</f>
        <v>75276</v>
      </c>
      <c r="G32" s="17">
        <f>ChiKCB_2021!S32</f>
        <v>8196.265562875642</v>
      </c>
      <c r="H32" s="9">
        <f t="shared" si="0"/>
        <v>75276</v>
      </c>
      <c r="I32" s="9">
        <f t="shared" si="0"/>
        <v>8196.265562875642</v>
      </c>
      <c r="J32" s="8">
        <f>Tongmucthanhtoan2019_2021!N33</f>
        <v>8640.4936633459638</v>
      </c>
      <c r="K32" s="8">
        <f t="shared" si="1"/>
        <v>0</v>
      </c>
      <c r="L32" s="8">
        <f t="shared" si="2"/>
        <v>8196.265562875642</v>
      </c>
      <c r="M32" s="17">
        <f>D32+Giatang2022!S31</f>
        <v>0</v>
      </c>
      <c r="N32" s="17">
        <f>E32+Giatang2022!T31</f>
        <v>0</v>
      </c>
      <c r="O32" s="17">
        <f>F32+Giatang2022!U31</f>
        <v>87855.102291168805</v>
      </c>
      <c r="P32" s="17">
        <f>G32+Giatang2022!V31</f>
        <v>9606.8954230376075</v>
      </c>
      <c r="Q32" s="9">
        <f t="shared" si="3"/>
        <v>87855.102291168805</v>
      </c>
      <c r="R32" s="9">
        <f t="shared" si="3"/>
        <v>9606.8954230376075</v>
      </c>
      <c r="S32" s="8">
        <f>Tongmuc2022!K33</f>
        <v>9613.743665699345</v>
      </c>
      <c r="T32" s="8">
        <f t="shared" si="4"/>
        <v>0</v>
      </c>
      <c r="U32" s="8">
        <f t="shared" si="5"/>
        <v>9606.8954230376075</v>
      </c>
      <c r="V32" s="45"/>
    </row>
    <row r="33" spans="1:22">
      <c r="A33" s="6">
        <v>25</v>
      </c>
      <c r="B33" s="7" t="s">
        <v>37</v>
      </c>
      <c r="C33" s="69" t="s">
        <v>100</v>
      </c>
      <c r="D33" s="17">
        <f>ChiKCB_2021!P33</f>
        <v>0</v>
      </c>
      <c r="E33" s="17">
        <f>ChiKCB_2021!Q33</f>
        <v>0</v>
      </c>
      <c r="F33" s="17">
        <f>ChiKCB_2021!R33</f>
        <v>155642</v>
      </c>
      <c r="G33" s="17">
        <f>ChiKCB_2021!S33</f>
        <v>18889.372755874527</v>
      </c>
      <c r="H33" s="9">
        <f t="shared" si="0"/>
        <v>155642</v>
      </c>
      <c r="I33" s="9">
        <f t="shared" si="0"/>
        <v>18889.372755874527</v>
      </c>
      <c r="J33" s="8">
        <f>Tongmucthanhtoan2019_2021!N34</f>
        <v>18652.285420391916</v>
      </c>
      <c r="K33" s="8">
        <f t="shared" si="1"/>
        <v>237.0873354826108</v>
      </c>
      <c r="L33" s="8">
        <f t="shared" si="2"/>
        <v>18652.285420391916</v>
      </c>
      <c r="M33" s="17">
        <f>D33+Giatang2022!S32</f>
        <v>0</v>
      </c>
      <c r="N33" s="17">
        <f>E33+Giatang2022!T32</f>
        <v>0</v>
      </c>
      <c r="O33" s="17">
        <f>F33+Giatang2022!U32</f>
        <v>190592.00924844708</v>
      </c>
      <c r="P33" s="17">
        <f>G33+Giatang2022!V32</f>
        <v>23225.500865816113</v>
      </c>
      <c r="Q33" s="9">
        <f t="shared" si="3"/>
        <v>190592.00924844708</v>
      </c>
      <c r="R33" s="9">
        <f t="shared" si="3"/>
        <v>23225.500865816113</v>
      </c>
      <c r="S33" s="8">
        <f>Tongmuc2022!K34</f>
        <v>22956.383064230318</v>
      </c>
      <c r="T33" s="8">
        <f t="shared" si="4"/>
        <v>269.11780158579495</v>
      </c>
      <c r="U33" s="8">
        <f t="shared" si="5"/>
        <v>22956.383064230318</v>
      </c>
      <c r="V33" s="45"/>
    </row>
    <row r="34" spans="1:22">
      <c r="A34" s="6">
        <v>26</v>
      </c>
      <c r="B34" s="7" t="s">
        <v>38</v>
      </c>
      <c r="C34" s="69" t="s">
        <v>101</v>
      </c>
      <c r="D34" s="17">
        <f>ChiKCB_2021!P34</f>
        <v>0</v>
      </c>
      <c r="E34" s="17">
        <f>ChiKCB_2021!Q34</f>
        <v>0</v>
      </c>
      <c r="F34" s="17">
        <f>ChiKCB_2021!R34</f>
        <v>22136</v>
      </c>
      <c r="G34" s="17">
        <f>ChiKCB_2021!S34</f>
        <v>2872.6363033214539</v>
      </c>
      <c r="H34" s="9">
        <f t="shared" si="0"/>
        <v>22136</v>
      </c>
      <c r="I34" s="9">
        <f t="shared" si="0"/>
        <v>2872.6363033214539</v>
      </c>
      <c r="J34" s="8">
        <f>Tongmucthanhtoan2019_2021!N35</f>
        <v>2740.0851365011667</v>
      </c>
      <c r="K34" s="8">
        <f t="shared" si="1"/>
        <v>132.55116682028711</v>
      </c>
      <c r="L34" s="8">
        <f t="shared" si="2"/>
        <v>2740.0851365011667</v>
      </c>
      <c r="M34" s="17">
        <f>D34+Giatang2022!S33</f>
        <v>0</v>
      </c>
      <c r="N34" s="17">
        <f>E34+Giatang2022!T33</f>
        <v>0</v>
      </c>
      <c r="O34" s="17">
        <f>F34+Giatang2022!U33</f>
        <v>24342.760716436802</v>
      </c>
      <c r="P34" s="17">
        <f>G34+Giatang2022!V33</f>
        <v>3173.3755666405555</v>
      </c>
      <c r="Q34" s="9">
        <f t="shared" si="3"/>
        <v>24342.760716436802</v>
      </c>
      <c r="R34" s="9">
        <f t="shared" si="3"/>
        <v>3173.3755666405555</v>
      </c>
      <c r="S34" s="8">
        <f>Tongmuc2022!K35</f>
        <v>3029.0421174240369</v>
      </c>
      <c r="T34" s="8">
        <f t="shared" si="4"/>
        <v>144.3334492165186</v>
      </c>
      <c r="U34" s="8">
        <f t="shared" si="5"/>
        <v>3029.0421174240369</v>
      </c>
      <c r="V34" s="45"/>
    </row>
    <row r="35" spans="1:22">
      <c r="A35" s="6">
        <v>27</v>
      </c>
      <c r="B35" s="7" t="s">
        <v>39</v>
      </c>
      <c r="C35" s="69" t="s">
        <v>102</v>
      </c>
      <c r="D35" s="17">
        <f>ChiKCB_2021!P35</f>
        <v>0</v>
      </c>
      <c r="E35" s="17">
        <f>ChiKCB_2021!Q35</f>
        <v>0</v>
      </c>
      <c r="F35" s="17">
        <f>ChiKCB_2021!R35</f>
        <v>14557</v>
      </c>
      <c r="G35" s="17">
        <f>ChiKCB_2021!S35</f>
        <v>1785.9494234046022</v>
      </c>
      <c r="H35" s="9">
        <f t="shared" si="0"/>
        <v>14557</v>
      </c>
      <c r="I35" s="9">
        <f t="shared" si="0"/>
        <v>1785.9494234046022</v>
      </c>
      <c r="J35" s="8">
        <f>Tongmucthanhtoan2019_2021!N36</f>
        <v>1988.1753098804334</v>
      </c>
      <c r="K35" s="8">
        <f t="shared" si="1"/>
        <v>0</v>
      </c>
      <c r="L35" s="8">
        <f t="shared" si="2"/>
        <v>1785.9494234046022</v>
      </c>
      <c r="M35" s="17">
        <f>D35+Giatang2022!S34</f>
        <v>0</v>
      </c>
      <c r="N35" s="17">
        <f>E35+Giatang2022!T34</f>
        <v>0</v>
      </c>
      <c r="O35" s="17">
        <f>F35+Giatang2022!U34</f>
        <v>17174.432788358681</v>
      </c>
      <c r="P35" s="17">
        <f>G35+Giatang2022!V34</f>
        <v>2116.0032056366545</v>
      </c>
      <c r="Q35" s="9">
        <f t="shared" si="3"/>
        <v>17174.432788358681</v>
      </c>
      <c r="R35" s="9">
        <f t="shared" si="3"/>
        <v>2116.0032056366545</v>
      </c>
      <c r="S35" s="8">
        <f>Tongmuc2022!K36</f>
        <v>2117.60882581223</v>
      </c>
      <c r="T35" s="8">
        <f t="shared" si="4"/>
        <v>0</v>
      </c>
      <c r="U35" s="8">
        <f t="shared" si="5"/>
        <v>2116.0032056366545</v>
      </c>
      <c r="V35" s="45"/>
    </row>
    <row r="36" spans="1:22">
      <c r="A36" s="6">
        <v>28</v>
      </c>
      <c r="B36" s="7" t="s">
        <v>40</v>
      </c>
      <c r="C36" s="69" t="s">
        <v>104</v>
      </c>
      <c r="D36" s="17">
        <f>ChiKCB_2021!P36</f>
        <v>0</v>
      </c>
      <c r="E36" s="17">
        <f>ChiKCB_2021!Q36</f>
        <v>0</v>
      </c>
      <c r="F36" s="17">
        <f>ChiKCB_2021!R36</f>
        <v>8682</v>
      </c>
      <c r="G36" s="17">
        <f>ChiKCB_2021!S36</f>
        <v>1226.4509670608991</v>
      </c>
      <c r="H36" s="9">
        <f t="shared" si="0"/>
        <v>8682</v>
      </c>
      <c r="I36" s="9">
        <f t="shared" si="0"/>
        <v>1226.4509670608991</v>
      </c>
      <c r="J36" s="8">
        <f>Tongmucthanhtoan2019_2021!N37</f>
        <v>1085.4279914232975</v>
      </c>
      <c r="K36" s="8">
        <f t="shared" si="1"/>
        <v>141.02297563760158</v>
      </c>
      <c r="L36" s="8">
        <f t="shared" si="2"/>
        <v>1085.4279914232975</v>
      </c>
      <c r="M36" s="17">
        <f>D36+Giatang2022!S35</f>
        <v>0</v>
      </c>
      <c r="N36" s="17">
        <f>E36+Giatang2022!T35</f>
        <v>0</v>
      </c>
      <c r="O36" s="17">
        <f>F36+Giatang2022!U35</f>
        <v>11261.9520133316</v>
      </c>
      <c r="P36" s="17">
        <f>G36+Giatang2022!V35</f>
        <v>1597.0366475724595</v>
      </c>
      <c r="Q36" s="9">
        <f t="shared" si="3"/>
        <v>11261.9520133316</v>
      </c>
      <c r="R36" s="9">
        <f t="shared" si="3"/>
        <v>1597.0366475724595</v>
      </c>
      <c r="S36" s="8">
        <f>Tongmuc2022!K37</f>
        <v>1415.9294071671045</v>
      </c>
      <c r="T36" s="8">
        <f t="shared" si="4"/>
        <v>181.10724040535501</v>
      </c>
      <c r="U36" s="8">
        <f t="shared" si="5"/>
        <v>1415.9294071671045</v>
      </c>
      <c r="V36" s="45"/>
    </row>
    <row r="37" spans="1:22">
      <c r="A37" s="6">
        <v>29</v>
      </c>
      <c r="B37" s="7" t="s">
        <v>41</v>
      </c>
      <c r="C37" s="69" t="s">
        <v>105</v>
      </c>
      <c r="D37" s="17">
        <f>ChiKCB_2021!P37</f>
        <v>0</v>
      </c>
      <c r="E37" s="17">
        <f>ChiKCB_2021!Q37</f>
        <v>0</v>
      </c>
      <c r="F37" s="17">
        <f>ChiKCB_2021!R37</f>
        <v>65575</v>
      </c>
      <c r="G37" s="17">
        <f>ChiKCB_2021!S37</f>
        <v>7080.6216032140892</v>
      </c>
      <c r="H37" s="9">
        <f t="shared" si="0"/>
        <v>65575</v>
      </c>
      <c r="I37" s="9">
        <f t="shared" si="0"/>
        <v>7080.6216032140892</v>
      </c>
      <c r="J37" s="8">
        <f>Tongmucthanhtoan2019_2021!N38</f>
        <v>7146.0294760596644</v>
      </c>
      <c r="K37" s="8">
        <f t="shared" si="1"/>
        <v>0</v>
      </c>
      <c r="L37" s="8">
        <f t="shared" si="2"/>
        <v>7080.6216032140892</v>
      </c>
      <c r="M37" s="17">
        <f>D37+Giatang2022!S36</f>
        <v>0</v>
      </c>
      <c r="N37" s="17">
        <f>E37+Giatang2022!T36</f>
        <v>0</v>
      </c>
      <c r="O37" s="17">
        <f>F37+Giatang2022!U36</f>
        <v>70658.180903736997</v>
      </c>
      <c r="P37" s="17">
        <f>G37+Giatang2022!V36</f>
        <v>7664.8936478682917</v>
      </c>
      <c r="Q37" s="9">
        <f t="shared" si="3"/>
        <v>70658.180903736997</v>
      </c>
      <c r="R37" s="9">
        <f t="shared" si="3"/>
        <v>7664.8936478682917</v>
      </c>
      <c r="S37" s="8">
        <f>Tongmuc2022!K38</f>
        <v>7667.6379925514821</v>
      </c>
      <c r="T37" s="8">
        <f t="shared" si="4"/>
        <v>0</v>
      </c>
      <c r="U37" s="8">
        <f t="shared" si="5"/>
        <v>7664.8936478682917</v>
      </c>
      <c r="V37" s="45"/>
    </row>
    <row r="38" spans="1:22">
      <c r="A38" s="6">
        <v>30</v>
      </c>
      <c r="B38" s="7" t="s">
        <v>68</v>
      </c>
      <c r="C38" s="69" t="s">
        <v>116</v>
      </c>
      <c r="D38" s="17">
        <f>ChiKCB_2021!P38</f>
        <v>13040</v>
      </c>
      <c r="E38" s="17">
        <f>ChiKCB_2021!Q38</f>
        <v>35072.909628627494</v>
      </c>
      <c r="F38" s="17">
        <f>ChiKCB_2021!R38</f>
        <v>64840</v>
      </c>
      <c r="G38" s="17">
        <f>ChiKCB_2021!S38</f>
        <v>12534.579892646027</v>
      </c>
      <c r="H38" s="9">
        <f t="shared" si="0"/>
        <v>77880</v>
      </c>
      <c r="I38" s="9">
        <f t="shared" si="0"/>
        <v>47607.489521273521</v>
      </c>
      <c r="J38" s="8">
        <f>Tongmucthanhtoan2019_2021!N39</f>
        <v>55032.7058136419</v>
      </c>
      <c r="K38" s="8">
        <f t="shared" si="1"/>
        <v>0</v>
      </c>
      <c r="L38" s="8">
        <f t="shared" si="2"/>
        <v>47607.489521273521</v>
      </c>
      <c r="M38" s="17">
        <f>D38+Giatang2022!S37</f>
        <v>14781.189153147201</v>
      </c>
      <c r="N38" s="17">
        <f>E38+Giatang2022!T37</f>
        <v>39931.446708571108</v>
      </c>
      <c r="O38" s="17">
        <f>F38+Giatang2022!U37</f>
        <v>117873.89310719201</v>
      </c>
      <c r="P38" s="17">
        <f>G38+Giatang2022!V37</f>
        <v>22849.52870466551</v>
      </c>
      <c r="Q38" s="9">
        <f t="shared" si="3"/>
        <v>132655.0822603392</v>
      </c>
      <c r="R38" s="9">
        <f t="shared" si="3"/>
        <v>62780.975413236622</v>
      </c>
      <c r="S38" s="8">
        <f>Tongmuc2022!K39</f>
        <v>62656.872443436674</v>
      </c>
      <c r="T38" s="8">
        <f t="shared" si="4"/>
        <v>124.10296979994746</v>
      </c>
      <c r="U38" s="8">
        <f t="shared" si="5"/>
        <v>62656.872443436674</v>
      </c>
      <c r="V38" s="45"/>
    </row>
    <row r="39" spans="1:22">
      <c r="A39" s="10">
        <v>31</v>
      </c>
      <c r="B39" s="11" t="s">
        <v>42</v>
      </c>
      <c r="C39" s="70" t="s">
        <v>106</v>
      </c>
      <c r="D39" s="17">
        <f>ChiKCB_2021!P39</f>
        <v>0</v>
      </c>
      <c r="E39" s="17">
        <f>ChiKCB_2021!Q39</f>
        <v>0</v>
      </c>
      <c r="F39" s="17">
        <f>ChiKCB_2021!R39</f>
        <v>10086</v>
      </c>
      <c r="G39" s="17">
        <f>ChiKCB_2021!S39</f>
        <v>1413.1709453652734</v>
      </c>
      <c r="H39" s="9">
        <f t="shared" si="0"/>
        <v>10086</v>
      </c>
      <c r="I39" s="9">
        <f t="shared" si="0"/>
        <v>1413.1709453652734</v>
      </c>
      <c r="J39" s="8">
        <f>Tongmucthanhtoan2019_2021!N40</f>
        <v>1387.664987316806</v>
      </c>
      <c r="K39" s="8">
        <f t="shared" si="1"/>
        <v>25.505958048467392</v>
      </c>
      <c r="L39" s="8">
        <f t="shared" si="2"/>
        <v>1387.664987316806</v>
      </c>
      <c r="M39" s="17">
        <f>D39+Giatang2022!S38</f>
        <v>0</v>
      </c>
      <c r="N39" s="17">
        <f>E39+Giatang2022!T38</f>
        <v>0</v>
      </c>
      <c r="O39" s="17">
        <f>F39+Giatang2022!U38</f>
        <v>10891.098400000001</v>
      </c>
      <c r="P39" s="17">
        <f>G39+Giatang2022!V38</f>
        <v>1533.0408519501277</v>
      </c>
      <c r="Q39" s="9">
        <f t="shared" si="3"/>
        <v>10891.098400000001</v>
      </c>
      <c r="R39" s="9">
        <f t="shared" si="3"/>
        <v>1533.0408519501277</v>
      </c>
      <c r="S39" s="8">
        <f>Tongmuc2022!K40</f>
        <v>1506.0629429121614</v>
      </c>
      <c r="T39" s="8">
        <f t="shared" si="4"/>
        <v>26.977909037966356</v>
      </c>
      <c r="U39" s="8">
        <f t="shared" si="5"/>
        <v>1506.0629429121614</v>
      </c>
      <c r="V39" s="45"/>
    </row>
    <row r="40" spans="1:22" s="15" customFormat="1">
      <c r="A40" s="12">
        <v>32</v>
      </c>
      <c r="B40" s="13" t="s">
        <v>43</v>
      </c>
      <c r="C40" s="71" t="s">
        <v>107</v>
      </c>
      <c r="D40" s="17">
        <f>ChiKCB_2021!P40</f>
        <v>0</v>
      </c>
      <c r="E40" s="17">
        <f>ChiKCB_2021!Q40</f>
        <v>0</v>
      </c>
      <c r="F40" s="17">
        <f>ChiKCB_2021!R40</f>
        <v>1624</v>
      </c>
      <c r="G40" s="17">
        <f>ChiKCB_2021!S40</f>
        <v>211.90073653547091</v>
      </c>
      <c r="H40" s="9">
        <f t="shared" si="0"/>
        <v>1624</v>
      </c>
      <c r="I40" s="9">
        <f t="shared" si="0"/>
        <v>211.90073653547091</v>
      </c>
      <c r="J40" s="8">
        <f>Tongmucthanhtoan2019_2021!N41</f>
        <v>210.86675997829624</v>
      </c>
      <c r="K40" s="8">
        <f t="shared" si="1"/>
        <v>1.0339765571746682</v>
      </c>
      <c r="L40" s="8">
        <f t="shared" si="2"/>
        <v>210.86675997829624</v>
      </c>
      <c r="M40" s="17">
        <f>D40+Giatang2022!S39</f>
        <v>0</v>
      </c>
      <c r="N40" s="17">
        <f>E40+Giatang2022!T39</f>
        <v>0</v>
      </c>
      <c r="O40" s="17">
        <f>F40+Giatang2022!U39</f>
        <v>1734.1156000000001</v>
      </c>
      <c r="P40" s="17">
        <f>G40+Giatang2022!V39</f>
        <v>227.32820619354561</v>
      </c>
      <c r="Q40" s="9">
        <f t="shared" si="3"/>
        <v>1734.1156000000001</v>
      </c>
      <c r="R40" s="9">
        <f t="shared" si="3"/>
        <v>227.32820619354561</v>
      </c>
      <c r="S40" s="8">
        <f>Tongmuc2022!K41</f>
        <v>226.2959605075169</v>
      </c>
      <c r="T40" s="8">
        <f t="shared" si="4"/>
        <v>1.0322456860287161</v>
      </c>
      <c r="U40" s="8">
        <f t="shared" si="5"/>
        <v>226.2959605075169</v>
      </c>
      <c r="V40" s="45"/>
    </row>
    <row r="41" spans="1:22">
      <c r="A41" s="6">
        <v>33</v>
      </c>
      <c r="B41" s="7" t="s">
        <v>44</v>
      </c>
      <c r="C41" s="69" t="s">
        <v>117</v>
      </c>
      <c r="D41" s="17">
        <f>ChiKCB_2021!P41</f>
        <v>0</v>
      </c>
      <c r="E41" s="17">
        <f>ChiKCB_2021!Q41</f>
        <v>0</v>
      </c>
      <c r="F41" s="17">
        <f>ChiKCB_2021!R41</f>
        <v>14531</v>
      </c>
      <c r="G41" s="17">
        <f>ChiKCB_2021!S41</f>
        <v>1651.5674109211823</v>
      </c>
      <c r="H41" s="9">
        <f t="shared" si="0"/>
        <v>14531</v>
      </c>
      <c r="I41" s="9">
        <f t="shared" si="0"/>
        <v>1651.5674109211823</v>
      </c>
      <c r="J41" s="8">
        <f>Tongmucthanhtoan2019_2021!N42</f>
        <v>1774.0621760326535</v>
      </c>
      <c r="K41" s="8">
        <f t="shared" si="1"/>
        <v>0</v>
      </c>
      <c r="L41" s="8">
        <f t="shared" si="2"/>
        <v>1651.5674109211823</v>
      </c>
      <c r="M41" s="17">
        <f>D41+Giatang2022!S40</f>
        <v>0</v>
      </c>
      <c r="N41" s="17">
        <f>E41+Giatang2022!T40</f>
        <v>0</v>
      </c>
      <c r="O41" s="17">
        <f>F41+Giatang2022!U40</f>
        <v>17417.053400000001</v>
      </c>
      <c r="P41" s="17">
        <f>G41+Giatang2022!V40</f>
        <v>1987.8489037199402</v>
      </c>
      <c r="Q41" s="9">
        <f t="shared" si="3"/>
        <v>17417.053400000001</v>
      </c>
      <c r="R41" s="9">
        <f t="shared" si="3"/>
        <v>1987.8489037199402</v>
      </c>
      <c r="S41" s="8">
        <f>Tongmuc2022!K42</f>
        <v>1989.4890219986612</v>
      </c>
      <c r="T41" s="8">
        <f t="shared" si="4"/>
        <v>0</v>
      </c>
      <c r="U41" s="8">
        <f t="shared" si="5"/>
        <v>1987.8489037199402</v>
      </c>
      <c r="V41" s="45"/>
    </row>
    <row r="42" spans="1:22">
      <c r="A42" s="6">
        <v>34</v>
      </c>
      <c r="B42" s="7" t="s">
        <v>45</v>
      </c>
      <c r="C42" s="69" t="s">
        <v>118</v>
      </c>
      <c r="D42" s="17">
        <f>ChiKCB_2021!P42</f>
        <v>0</v>
      </c>
      <c r="E42" s="17">
        <f>ChiKCB_2021!Q42</f>
        <v>0</v>
      </c>
      <c r="F42" s="17">
        <f>ChiKCB_2021!R42</f>
        <v>20399</v>
      </c>
      <c r="G42" s="17">
        <f>ChiKCB_2021!S42</f>
        <v>2386.3321572359428</v>
      </c>
      <c r="H42" s="9">
        <f t="shared" si="0"/>
        <v>20399</v>
      </c>
      <c r="I42" s="9">
        <f t="shared" si="0"/>
        <v>2386.3321572359428</v>
      </c>
      <c r="J42" s="8">
        <f>Tongmucthanhtoan2019_2021!N43</f>
        <v>2515.7513740873719</v>
      </c>
      <c r="K42" s="8">
        <f t="shared" si="1"/>
        <v>0</v>
      </c>
      <c r="L42" s="8">
        <f t="shared" si="2"/>
        <v>2386.3321572359428</v>
      </c>
      <c r="M42" s="17">
        <f>D42+Giatang2022!S41</f>
        <v>0</v>
      </c>
      <c r="N42" s="17">
        <f>E42+Giatang2022!T41</f>
        <v>0</v>
      </c>
      <c r="O42" s="17">
        <f>F42+Giatang2022!U41</f>
        <v>22807.988600000001</v>
      </c>
      <c r="P42" s="17">
        <f>G42+Giatang2022!V41</f>
        <v>2680.0740519843166</v>
      </c>
      <c r="Q42" s="9">
        <f t="shared" si="3"/>
        <v>22807.988600000001</v>
      </c>
      <c r="R42" s="9">
        <f t="shared" si="3"/>
        <v>2680.0740519843166</v>
      </c>
      <c r="S42" s="8">
        <f>Tongmuc2022!K43</f>
        <v>2681.4831031541275</v>
      </c>
      <c r="T42" s="8">
        <f t="shared" si="4"/>
        <v>0</v>
      </c>
      <c r="U42" s="8">
        <f t="shared" si="5"/>
        <v>2680.0740519843166</v>
      </c>
      <c r="V42" s="45"/>
    </row>
    <row r="43" spans="1:22">
      <c r="A43" s="207" t="s">
        <v>10</v>
      </c>
      <c r="B43" s="208"/>
      <c r="C43" s="166"/>
      <c r="D43" s="16">
        <f t="shared" ref="D43:U43" si="6">SUM(D9:D42)</f>
        <v>228485</v>
      </c>
      <c r="E43" s="16">
        <f t="shared" si="6"/>
        <v>805717.04815090552</v>
      </c>
      <c r="F43" s="16">
        <f t="shared" si="6"/>
        <v>2070731</v>
      </c>
      <c r="G43" s="16">
        <f t="shared" si="6"/>
        <v>377216.98261359805</v>
      </c>
      <c r="H43" s="16">
        <f t="shared" si="6"/>
        <v>2299216</v>
      </c>
      <c r="I43" s="16">
        <f t="shared" si="6"/>
        <v>1182934.0307645036</v>
      </c>
      <c r="J43" s="16">
        <f t="shared" si="6"/>
        <v>1188946.5373946978</v>
      </c>
      <c r="K43" s="16">
        <f t="shared" si="6"/>
        <v>27877.694118236788</v>
      </c>
      <c r="L43" s="16">
        <f t="shared" si="6"/>
        <v>1155056.336646267</v>
      </c>
      <c r="M43" s="16">
        <f t="shared" si="6"/>
        <v>300039.09719621076</v>
      </c>
      <c r="N43" s="16">
        <f t="shared" si="6"/>
        <v>1044425.7919476926</v>
      </c>
      <c r="O43" s="16">
        <f t="shared" si="6"/>
        <v>2584344.8497269456</v>
      </c>
      <c r="P43" s="16">
        <f t="shared" si="6"/>
        <v>471815.42722662131</v>
      </c>
      <c r="Q43" s="16">
        <f t="shared" si="6"/>
        <v>2884383.9469231567</v>
      </c>
      <c r="R43" s="16">
        <f t="shared" si="6"/>
        <v>1516241.219174315</v>
      </c>
      <c r="S43" s="16">
        <f t="shared" si="6"/>
        <v>1491958.6717054949</v>
      </c>
      <c r="T43" s="16">
        <f t="shared" si="6"/>
        <v>24312.173337099757</v>
      </c>
      <c r="U43" s="16">
        <f t="shared" si="6"/>
        <v>1491929.0458372147</v>
      </c>
    </row>
    <row r="44" spans="1:22">
      <c r="A44" s="209"/>
      <c r="B44" s="209"/>
      <c r="C44" s="209"/>
    </row>
    <row r="45" spans="1:22">
      <c r="A45" s="206"/>
      <c r="B45" s="206"/>
      <c r="C45" s="206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</row>
    <row r="46" spans="1:22">
      <c r="D46" s="45"/>
      <c r="E46" s="45"/>
      <c r="F46" s="45"/>
      <c r="G46" s="45"/>
      <c r="H46" s="45"/>
      <c r="I46" s="45"/>
      <c r="J46" s="45"/>
      <c r="K46" s="45"/>
      <c r="L46" s="45"/>
      <c r="S46" s="45"/>
      <c r="T46" s="45"/>
      <c r="U46" s="45"/>
    </row>
  </sheetData>
  <mergeCells count="25">
    <mergeCell ref="A3:U3"/>
    <mergeCell ref="S1:U1"/>
    <mergeCell ref="D5:L5"/>
    <mergeCell ref="K6:K7"/>
    <mergeCell ref="L6:L7"/>
    <mergeCell ref="S6:S7"/>
    <mergeCell ref="T6:T7"/>
    <mergeCell ref="U6:U7"/>
    <mergeCell ref="M5:U5"/>
    <mergeCell ref="M6:N6"/>
    <mergeCell ref="O6:P6"/>
    <mergeCell ref="Q6:R6"/>
    <mergeCell ref="A1:C1"/>
    <mergeCell ref="A2:C2"/>
    <mergeCell ref="S4:U4"/>
    <mergeCell ref="A43:B43"/>
    <mergeCell ref="A44:C44"/>
    <mergeCell ref="A45:C45"/>
    <mergeCell ref="J6:J7"/>
    <mergeCell ref="D6:E6"/>
    <mergeCell ref="F6:G6"/>
    <mergeCell ref="H6:I6"/>
    <mergeCell ref="A5:A7"/>
    <mergeCell ref="B5:B7"/>
    <mergeCell ref="C5:C7"/>
  </mergeCells>
  <pageMargins left="0.2" right="0.2" top="0.21" bottom="0.27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5262-9E04-47F1-BA50-6E105767516A}">
  <dimension ref="A1:AB47"/>
  <sheetViews>
    <sheetView topLeftCell="E1" zoomScaleNormal="100" workbookViewId="0">
      <selection activeCell="V1" sqref="V1:X1"/>
    </sheetView>
  </sheetViews>
  <sheetFormatPr defaultColWidth="9.1796875" defaultRowHeight="14"/>
  <cols>
    <col min="1" max="1" width="5" style="1" customWidth="1"/>
    <col min="2" max="2" width="26.1796875" style="1" customWidth="1"/>
    <col min="3" max="3" width="6.7265625" style="1" bestFit="1" customWidth="1"/>
    <col min="4" max="4" width="7.1796875" style="1" bestFit="1" customWidth="1"/>
    <col min="5" max="5" width="9" style="1" customWidth="1"/>
    <col min="6" max="6" width="8.54296875" style="2" bestFit="1" customWidth="1"/>
    <col min="7" max="7" width="6.54296875" style="1" customWidth="1"/>
    <col min="8" max="8" width="7" style="1" customWidth="1"/>
    <col min="9" max="9" width="9.1796875" style="1"/>
    <col min="10" max="10" width="6.7265625" style="1" customWidth="1"/>
    <col min="11" max="11" width="9.1796875" style="1"/>
    <col min="12" max="12" width="7.36328125" style="1" customWidth="1"/>
    <col min="13" max="13" width="7.7265625" style="1" customWidth="1"/>
    <col min="14" max="14" width="7.54296875" style="1" customWidth="1"/>
    <col min="15" max="15" width="8" style="1" customWidth="1"/>
    <col min="16" max="16" width="7.90625" style="1" customWidth="1"/>
    <col min="17" max="17" width="9.1796875" style="1"/>
    <col min="18" max="18" width="7.1796875" style="1" customWidth="1"/>
    <col min="19" max="19" width="7" style="1" customWidth="1"/>
    <col min="20" max="20" width="7.1796875" style="1" customWidth="1"/>
    <col min="21" max="21" width="9.1796875" style="1"/>
    <col min="22" max="22" width="7.54296875" style="1" customWidth="1"/>
    <col min="23" max="23" width="9.1796875" style="1"/>
    <col min="24" max="24" width="7" style="1" customWidth="1"/>
    <col min="25" max="16384" width="9.1796875" style="1"/>
  </cols>
  <sheetData>
    <row r="1" spans="1:28">
      <c r="A1" s="222" t="s">
        <v>3</v>
      </c>
      <c r="B1" s="222"/>
      <c r="C1" s="222"/>
      <c r="D1" s="222"/>
      <c r="V1" s="225" t="s">
        <v>251</v>
      </c>
      <c r="W1" s="225"/>
      <c r="X1" s="225"/>
    </row>
    <row r="2" spans="1:28">
      <c r="A2" s="223" t="s">
        <v>109</v>
      </c>
      <c r="B2" s="223"/>
      <c r="C2" s="223"/>
      <c r="D2" s="223"/>
    </row>
    <row r="3" spans="1:28">
      <c r="A3" s="224" t="s">
        <v>216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</row>
    <row r="4" spans="1:28" ht="15" customHeight="1">
      <c r="P4" s="3"/>
      <c r="V4" s="226" t="s">
        <v>211</v>
      </c>
      <c r="W4" s="226"/>
      <c r="X4" s="226"/>
    </row>
    <row r="5" spans="1:28" ht="30" customHeight="1">
      <c r="A5" s="212" t="s">
        <v>5</v>
      </c>
      <c r="B5" s="215" t="s">
        <v>6</v>
      </c>
      <c r="C5" s="215" t="s">
        <v>7</v>
      </c>
      <c r="D5" s="218" t="s">
        <v>67</v>
      </c>
      <c r="E5" s="219"/>
      <c r="F5" s="219"/>
      <c r="G5" s="218" t="s">
        <v>66</v>
      </c>
      <c r="H5" s="219"/>
      <c r="I5" s="219"/>
      <c r="J5" s="219"/>
      <c r="K5" s="219"/>
      <c r="L5" s="220"/>
      <c r="M5" s="218" t="s">
        <v>209</v>
      </c>
      <c r="N5" s="219"/>
      <c r="O5" s="219"/>
      <c r="P5" s="219"/>
      <c r="Q5" s="219"/>
      <c r="R5" s="220"/>
      <c r="S5" s="218" t="s">
        <v>210</v>
      </c>
      <c r="T5" s="219"/>
      <c r="U5" s="219"/>
      <c r="V5" s="219"/>
      <c r="W5" s="219"/>
      <c r="X5" s="220"/>
    </row>
    <row r="6" spans="1:28" ht="30" customHeight="1">
      <c r="A6" s="213"/>
      <c r="B6" s="216"/>
      <c r="C6" s="216"/>
      <c r="D6" s="215" t="s">
        <v>8</v>
      </c>
      <c r="E6" s="215" t="s">
        <v>9</v>
      </c>
      <c r="F6" s="215" t="s">
        <v>246</v>
      </c>
      <c r="G6" s="210" t="s">
        <v>8</v>
      </c>
      <c r="H6" s="221"/>
      <c r="I6" s="210" t="s">
        <v>9</v>
      </c>
      <c r="J6" s="221"/>
      <c r="K6" s="210" t="s">
        <v>246</v>
      </c>
      <c r="L6" s="221"/>
      <c r="M6" s="210" t="s">
        <v>8</v>
      </c>
      <c r="N6" s="221"/>
      <c r="O6" s="210" t="s">
        <v>9</v>
      </c>
      <c r="P6" s="221"/>
      <c r="Q6" s="210" t="s">
        <v>246</v>
      </c>
      <c r="R6" s="221"/>
      <c r="S6" s="210" t="s">
        <v>8</v>
      </c>
      <c r="T6" s="221"/>
      <c r="U6" s="210" t="s">
        <v>9</v>
      </c>
      <c r="V6" s="221"/>
      <c r="W6" s="210" t="s">
        <v>246</v>
      </c>
      <c r="X6" s="221"/>
    </row>
    <row r="7" spans="1:28" ht="61" customHeight="1">
      <c r="A7" s="214"/>
      <c r="B7" s="214"/>
      <c r="C7" s="217"/>
      <c r="D7" s="217"/>
      <c r="E7" s="217"/>
      <c r="F7" s="217"/>
      <c r="G7" s="4" t="s">
        <v>194</v>
      </c>
      <c r="H7" s="4" t="s">
        <v>218</v>
      </c>
      <c r="I7" s="4" t="s">
        <v>194</v>
      </c>
      <c r="J7" s="4" t="s">
        <v>218</v>
      </c>
      <c r="K7" s="5" t="s">
        <v>11</v>
      </c>
      <c r="L7" s="5" t="s">
        <v>218</v>
      </c>
      <c r="M7" s="4" t="s">
        <v>194</v>
      </c>
      <c r="N7" s="4" t="s">
        <v>222</v>
      </c>
      <c r="O7" s="4" t="s">
        <v>194</v>
      </c>
      <c r="P7" s="4" t="s">
        <v>222</v>
      </c>
      <c r="Q7" s="5" t="s">
        <v>11</v>
      </c>
      <c r="R7" s="5" t="s">
        <v>218</v>
      </c>
      <c r="S7" s="4" t="s">
        <v>194</v>
      </c>
      <c r="T7" s="4" t="s">
        <v>226</v>
      </c>
      <c r="U7" s="4" t="s">
        <v>194</v>
      </c>
      <c r="V7" s="4" t="s">
        <v>226</v>
      </c>
      <c r="W7" s="5" t="s">
        <v>11</v>
      </c>
      <c r="X7" s="5" t="s">
        <v>218</v>
      </c>
    </row>
    <row r="8" spans="1:28" ht="29.5" customHeight="1">
      <c r="A8" s="163" t="s">
        <v>2</v>
      </c>
      <c r="B8" s="163" t="s">
        <v>1</v>
      </c>
      <c r="C8" s="164" t="s">
        <v>112</v>
      </c>
      <c r="D8" s="4">
        <v>1</v>
      </c>
      <c r="E8" s="4">
        <v>2</v>
      </c>
      <c r="F8" s="5" t="s">
        <v>212</v>
      </c>
      <c r="G8" s="4">
        <v>4</v>
      </c>
      <c r="H8" s="4" t="s">
        <v>219</v>
      </c>
      <c r="I8" s="4">
        <v>6</v>
      </c>
      <c r="J8" s="4" t="s">
        <v>220</v>
      </c>
      <c r="K8" s="5" t="s">
        <v>213</v>
      </c>
      <c r="L8" s="5" t="s">
        <v>221</v>
      </c>
      <c r="M8" s="4">
        <v>10</v>
      </c>
      <c r="N8" s="4" t="s">
        <v>223</v>
      </c>
      <c r="O8" s="4">
        <v>12</v>
      </c>
      <c r="P8" s="4" t="s">
        <v>224</v>
      </c>
      <c r="Q8" s="5" t="s">
        <v>214</v>
      </c>
      <c r="R8" s="5" t="s">
        <v>225</v>
      </c>
      <c r="S8" s="4">
        <v>16</v>
      </c>
      <c r="T8" s="4" t="s">
        <v>227</v>
      </c>
      <c r="U8" s="4">
        <v>18</v>
      </c>
      <c r="V8" s="4" t="s">
        <v>228</v>
      </c>
      <c r="W8" s="5" t="s">
        <v>215</v>
      </c>
      <c r="X8" s="5" t="s">
        <v>229</v>
      </c>
    </row>
    <row r="9" spans="1:28">
      <c r="A9" s="6">
        <v>1</v>
      </c>
      <c r="B9" s="7" t="s">
        <v>13</v>
      </c>
      <c r="C9" s="69" t="s">
        <v>70</v>
      </c>
      <c r="D9" s="8">
        <f>Tongmucthanhtoan2019_2021!E10</f>
        <v>81190</v>
      </c>
      <c r="E9" s="8">
        <f>Tongmucthanhtoan2019_2021!G10</f>
        <v>197986</v>
      </c>
      <c r="F9" s="9">
        <f t="shared" ref="F9:F42" si="0">+D9+E9</f>
        <v>279176</v>
      </c>
      <c r="G9" s="44">
        <f>Tongmucthanhtoan2019_2021!J10</f>
        <v>69091</v>
      </c>
      <c r="H9" s="176">
        <f>(G9-D9)/D9</f>
        <v>-0.14902081537135115</v>
      </c>
      <c r="I9" s="44">
        <f>Tongmucthanhtoan2019_2021!L10</f>
        <v>176921</v>
      </c>
      <c r="J9" s="176">
        <f>(I9-E9)/E9</f>
        <v>-0.10639641186750579</v>
      </c>
      <c r="K9" s="9">
        <f t="shared" ref="K9:K24" si="1">+G9+I9</f>
        <v>246012</v>
      </c>
      <c r="L9" s="177">
        <f>(K9-F9)/F9</f>
        <v>-0.11879244634209245</v>
      </c>
      <c r="M9" s="44">
        <f>Tongmucthanhtoan2019_2021!O10</f>
        <v>63406</v>
      </c>
      <c r="N9" s="176">
        <f>(M9-G9)/G9</f>
        <v>-8.2282786470017799E-2</v>
      </c>
      <c r="O9" s="44">
        <f>Tongmucthanhtoan2019_2021!R10</f>
        <v>156897</v>
      </c>
      <c r="P9" s="176">
        <f>(O9-I9)/I9</f>
        <v>-0.11318045907495436</v>
      </c>
      <c r="Q9" s="9">
        <f t="shared" ref="Q9:Q42" si="2">+M9+O9</f>
        <v>220303</v>
      </c>
      <c r="R9" s="177">
        <f>(Q9-K9)/K9</f>
        <v>-0.1045030323724046</v>
      </c>
      <c r="S9" s="44">
        <f>Tongmuc2022!L10</f>
        <v>80394.940341190115</v>
      </c>
      <c r="T9" s="176">
        <f>(S9-M9)/M9</f>
        <v>0.26793900169053581</v>
      </c>
      <c r="U9" s="44">
        <f>Tongmuc2022!O10</f>
        <v>194526.61353359857</v>
      </c>
      <c r="V9" s="176">
        <f>(U9-O9)/O9</f>
        <v>0.23983641200022038</v>
      </c>
      <c r="W9" s="9">
        <f t="shared" ref="W9:W42" si="3">+S9+U9</f>
        <v>274921.55387478869</v>
      </c>
      <c r="X9" s="177">
        <f>(W9-Q9)/Q9</f>
        <v>0.24792469405677039</v>
      </c>
      <c r="Y9" s="190"/>
      <c r="Z9" s="190"/>
      <c r="AB9" s="45"/>
    </row>
    <row r="10" spans="1:28">
      <c r="A10" s="6">
        <v>2</v>
      </c>
      <c r="B10" s="7" t="s">
        <v>14</v>
      </c>
      <c r="C10" s="69" t="s">
        <v>71</v>
      </c>
      <c r="D10" s="8">
        <f>Tongmucthanhtoan2019_2021!E11</f>
        <v>21991</v>
      </c>
      <c r="E10" s="8">
        <f>Tongmucthanhtoan2019_2021!G11</f>
        <v>172977</v>
      </c>
      <c r="F10" s="9">
        <f t="shared" si="0"/>
        <v>194968</v>
      </c>
      <c r="G10" s="44">
        <f>Tongmucthanhtoan2019_2021!J11</f>
        <v>18025</v>
      </c>
      <c r="H10" s="176">
        <f t="shared" ref="H10:H43" si="4">(G10-D10)/D10</f>
        <v>-0.18034650538856806</v>
      </c>
      <c r="I10" s="44">
        <f>Tongmucthanhtoan2019_2021!L11</f>
        <v>164377</v>
      </c>
      <c r="J10" s="176">
        <f t="shared" ref="J10:J43" si="5">(I10-E10)/E10</f>
        <v>-4.9717592512299326E-2</v>
      </c>
      <c r="K10" s="9">
        <f t="shared" si="1"/>
        <v>182402</v>
      </c>
      <c r="L10" s="177">
        <f t="shared" ref="L10:L43" si="6">(K10-F10)/F10</f>
        <v>-6.445160231422592E-2</v>
      </c>
      <c r="M10" s="44">
        <f>Tongmucthanhtoan2019_2021!O11</f>
        <v>14945</v>
      </c>
      <c r="N10" s="176">
        <f t="shared" ref="N10:N43" si="7">(M10-G10)/G10</f>
        <v>-0.17087378640776699</v>
      </c>
      <c r="O10" s="44">
        <f>Tongmucthanhtoan2019_2021!R11</f>
        <v>144105</v>
      </c>
      <c r="P10" s="176">
        <f t="shared" ref="P10:P42" si="8">(O10-I10)/I10</f>
        <v>-0.12332625610638959</v>
      </c>
      <c r="Q10" s="9">
        <f t="shared" si="2"/>
        <v>159050</v>
      </c>
      <c r="R10" s="177">
        <f t="shared" ref="R10:R42" si="9">(Q10-K10)/K10</f>
        <v>-0.12802491200754379</v>
      </c>
      <c r="S10" s="44">
        <f>Tongmuc2022!L11</f>
        <v>21387.961916941</v>
      </c>
      <c r="T10" s="176">
        <f t="shared" ref="T10:T43" si="10">(S10-M10)/M10</f>
        <v>0.43111153676420205</v>
      </c>
      <c r="U10" s="44">
        <f>Tongmuc2022!O11</f>
        <v>170573.98687494901</v>
      </c>
      <c r="V10" s="176">
        <f t="shared" ref="V10:V43" si="11">(U10-O10)/O10</f>
        <v>0.18367847663126896</v>
      </c>
      <c r="W10" s="9">
        <f t="shared" si="3"/>
        <v>191961.94879189</v>
      </c>
      <c r="X10" s="177">
        <f t="shared" ref="X10:X43" si="12">(W10-Q10)/Q10</f>
        <v>0.20692831683049354</v>
      </c>
      <c r="Y10" s="190"/>
      <c r="Z10" s="190"/>
      <c r="AB10" s="45"/>
    </row>
    <row r="11" spans="1:28">
      <c r="A11" s="6">
        <v>3</v>
      </c>
      <c r="B11" s="7" t="s">
        <v>15</v>
      </c>
      <c r="C11" s="69" t="s">
        <v>72</v>
      </c>
      <c r="D11" s="8">
        <f>Tongmucthanhtoan2019_2021!E12</f>
        <v>12491</v>
      </c>
      <c r="E11" s="8">
        <f>Tongmucthanhtoan2019_2021!G12</f>
        <v>162617</v>
      </c>
      <c r="F11" s="9">
        <f t="shared" si="0"/>
        <v>175108</v>
      </c>
      <c r="G11" s="44">
        <f>Tongmucthanhtoan2019_2021!J12</f>
        <v>11174</v>
      </c>
      <c r="H11" s="176">
        <f t="shared" si="4"/>
        <v>-0.10543591385797775</v>
      </c>
      <c r="I11" s="44">
        <f>Tongmucthanhtoan2019_2021!L12</f>
        <v>145692</v>
      </c>
      <c r="J11" s="176">
        <f t="shared" si="5"/>
        <v>-0.10407890933912199</v>
      </c>
      <c r="K11" s="9">
        <f t="shared" si="1"/>
        <v>156866</v>
      </c>
      <c r="L11" s="177">
        <f t="shared" si="6"/>
        <v>-0.10417570870548462</v>
      </c>
      <c r="M11" s="44">
        <f>Tongmucthanhtoan2019_2021!O12</f>
        <v>9576</v>
      </c>
      <c r="N11" s="176">
        <f t="shared" si="7"/>
        <v>-0.14301056022910327</v>
      </c>
      <c r="O11" s="44">
        <f>Tongmucthanhtoan2019_2021!R12</f>
        <v>127428</v>
      </c>
      <c r="P11" s="176">
        <f t="shared" si="8"/>
        <v>-0.12536034922988221</v>
      </c>
      <c r="Q11" s="9">
        <f t="shared" si="2"/>
        <v>137004</v>
      </c>
      <c r="R11" s="177">
        <f t="shared" si="9"/>
        <v>-0.1266176226843293</v>
      </c>
      <c r="S11" s="44">
        <f>Tongmuc2022!L12</f>
        <v>12244.3024825088</v>
      </c>
      <c r="T11" s="176">
        <f t="shared" si="10"/>
        <v>0.27864478722940683</v>
      </c>
      <c r="U11" s="44">
        <f>Tongmuc2022!O12</f>
        <v>159648.6525035864</v>
      </c>
      <c r="V11" s="176">
        <f t="shared" si="11"/>
        <v>0.2528537880496155</v>
      </c>
      <c r="W11" s="9">
        <f t="shared" si="3"/>
        <v>171892.9549860952</v>
      </c>
      <c r="X11" s="177">
        <f t="shared" si="12"/>
        <v>0.25465646978259904</v>
      </c>
      <c r="Y11" s="190"/>
      <c r="Z11" s="190"/>
      <c r="AB11" s="45"/>
    </row>
    <row r="12" spans="1:28">
      <c r="A12" s="6">
        <v>4</v>
      </c>
      <c r="B12" s="7" t="s">
        <v>16</v>
      </c>
      <c r="C12" s="69" t="s">
        <v>73</v>
      </c>
      <c r="D12" s="8">
        <f>Tongmucthanhtoan2019_2021!E13</f>
        <v>23385</v>
      </c>
      <c r="E12" s="8">
        <f>Tongmucthanhtoan2019_2021!G13</f>
        <v>198111</v>
      </c>
      <c r="F12" s="9">
        <f t="shared" si="0"/>
        <v>221496</v>
      </c>
      <c r="G12" s="44">
        <f>Tongmucthanhtoan2019_2021!J13</f>
        <v>20875</v>
      </c>
      <c r="H12" s="176">
        <f t="shared" si="4"/>
        <v>-0.10733376095787898</v>
      </c>
      <c r="I12" s="44">
        <f>Tongmucthanhtoan2019_2021!L13</f>
        <v>175027</v>
      </c>
      <c r="J12" s="176">
        <f t="shared" si="5"/>
        <v>-0.11652053646693016</v>
      </c>
      <c r="K12" s="9">
        <f t="shared" si="1"/>
        <v>195902</v>
      </c>
      <c r="L12" s="177">
        <f t="shared" si="6"/>
        <v>-0.11555061942427854</v>
      </c>
      <c r="M12" s="44">
        <f>Tongmucthanhtoan2019_2021!O13</f>
        <v>17054</v>
      </c>
      <c r="N12" s="176">
        <f t="shared" si="7"/>
        <v>-0.18304191616766466</v>
      </c>
      <c r="O12" s="44">
        <f>Tongmucthanhtoan2019_2021!R13</f>
        <v>139429</v>
      </c>
      <c r="P12" s="176">
        <f t="shared" si="8"/>
        <v>-0.2033857633393705</v>
      </c>
      <c r="Q12" s="9">
        <f t="shared" si="2"/>
        <v>156483</v>
      </c>
      <c r="R12" s="177">
        <f t="shared" si="9"/>
        <v>-0.20121795591673389</v>
      </c>
      <c r="S12" s="44">
        <f>Tongmuc2022!L13</f>
        <v>23194.36656273792</v>
      </c>
      <c r="T12" s="176">
        <f t="shared" si="10"/>
        <v>0.36005433110929513</v>
      </c>
      <c r="U12" s="44">
        <f>Tongmuc2022!O13</f>
        <v>193100.9305990602</v>
      </c>
      <c r="V12" s="176">
        <f t="shared" si="11"/>
        <v>0.38494094197806911</v>
      </c>
      <c r="W12" s="9">
        <f t="shared" si="3"/>
        <v>216295.29716179811</v>
      </c>
      <c r="X12" s="177">
        <f t="shared" si="12"/>
        <v>0.38222872236471761</v>
      </c>
      <c r="Y12" s="190"/>
      <c r="Z12" s="190"/>
      <c r="AB12" s="45"/>
    </row>
    <row r="13" spans="1:28">
      <c r="A13" s="6">
        <v>5</v>
      </c>
      <c r="B13" s="7" t="s">
        <v>17</v>
      </c>
      <c r="C13" s="69" t="s">
        <v>74</v>
      </c>
      <c r="D13" s="8">
        <f>Tongmucthanhtoan2019_2021!E14</f>
        <v>13120</v>
      </c>
      <c r="E13" s="8">
        <f>Tongmucthanhtoan2019_2021!G14</f>
        <v>262867</v>
      </c>
      <c r="F13" s="9">
        <f t="shared" si="0"/>
        <v>275987</v>
      </c>
      <c r="G13" s="44">
        <f>Tongmucthanhtoan2019_2021!J14</f>
        <v>11027</v>
      </c>
      <c r="H13" s="176">
        <f t="shared" si="4"/>
        <v>-0.15952743902439023</v>
      </c>
      <c r="I13" s="44">
        <f>Tongmucthanhtoan2019_2021!L14</f>
        <v>235304</v>
      </c>
      <c r="J13" s="176">
        <f t="shared" si="5"/>
        <v>-0.10485530705642017</v>
      </c>
      <c r="K13" s="9">
        <f t="shared" si="1"/>
        <v>246331</v>
      </c>
      <c r="L13" s="177">
        <f t="shared" si="6"/>
        <v>-0.10745433661730444</v>
      </c>
      <c r="M13" s="44">
        <f>Tongmucthanhtoan2019_2021!O14</f>
        <v>9994</v>
      </c>
      <c r="N13" s="176">
        <f t="shared" si="7"/>
        <v>-9.367915117439013E-2</v>
      </c>
      <c r="O13" s="44">
        <f>Tongmucthanhtoan2019_2021!R14</f>
        <v>206990</v>
      </c>
      <c r="P13" s="176">
        <f t="shared" si="8"/>
        <v>-0.12032944616326115</v>
      </c>
      <c r="Q13" s="9">
        <f t="shared" si="2"/>
        <v>216984</v>
      </c>
      <c r="R13" s="177">
        <f t="shared" si="9"/>
        <v>-0.11913644648866768</v>
      </c>
      <c r="S13" s="44">
        <f>Tongmuc2022!L14</f>
        <v>13065.818257509371</v>
      </c>
      <c r="T13" s="176">
        <f t="shared" si="10"/>
        <v>0.30736624549823599</v>
      </c>
      <c r="U13" s="44">
        <f>Tongmuc2022!O14</f>
        <v>258157.34188886199</v>
      </c>
      <c r="V13" s="176">
        <f t="shared" si="11"/>
        <v>0.24719716840843514</v>
      </c>
      <c r="W13" s="9">
        <f t="shared" si="3"/>
        <v>271223.16014637135</v>
      </c>
      <c r="X13" s="177">
        <f t="shared" si="12"/>
        <v>0.24996847761296384</v>
      </c>
      <c r="Y13" s="190"/>
      <c r="Z13" s="190"/>
      <c r="AB13" s="45"/>
    </row>
    <row r="14" spans="1:28">
      <c r="A14" s="6">
        <v>6</v>
      </c>
      <c r="B14" s="7" t="s">
        <v>18</v>
      </c>
      <c r="C14" s="69" t="s">
        <v>75</v>
      </c>
      <c r="D14" s="8">
        <f>Tongmucthanhtoan2019_2021!E15</f>
        <v>11180</v>
      </c>
      <c r="E14" s="8">
        <f>Tongmucthanhtoan2019_2021!G15</f>
        <v>147909</v>
      </c>
      <c r="F14" s="9">
        <f t="shared" si="0"/>
        <v>159089</v>
      </c>
      <c r="G14" s="44">
        <f>Tongmucthanhtoan2019_2021!J15</f>
        <v>9288</v>
      </c>
      <c r="H14" s="176">
        <f t="shared" si="4"/>
        <v>-0.16923076923076924</v>
      </c>
      <c r="I14" s="44">
        <f>Tongmucthanhtoan2019_2021!L15</f>
        <v>136814</v>
      </c>
      <c r="J14" s="176">
        <f t="shared" si="5"/>
        <v>-7.5012338667694328E-2</v>
      </c>
      <c r="K14" s="9">
        <f t="shared" si="1"/>
        <v>146102</v>
      </c>
      <c r="L14" s="177">
        <f t="shared" si="6"/>
        <v>-8.1633551031183804E-2</v>
      </c>
      <c r="M14" s="44">
        <f>Tongmucthanhtoan2019_2021!O15</f>
        <v>7749</v>
      </c>
      <c r="N14" s="176">
        <f t="shared" si="7"/>
        <v>-0.16569767441860464</v>
      </c>
      <c r="O14" s="44">
        <f>Tongmucthanhtoan2019_2021!R15</f>
        <v>121960</v>
      </c>
      <c r="P14" s="176">
        <f t="shared" si="8"/>
        <v>-0.10857076030230825</v>
      </c>
      <c r="Q14" s="9">
        <f t="shared" si="2"/>
        <v>129709</v>
      </c>
      <c r="R14" s="177">
        <f t="shared" si="9"/>
        <v>-0.11220243391603127</v>
      </c>
      <c r="S14" s="44">
        <f>Tongmuc2022!L15</f>
        <v>10886.742014076201</v>
      </c>
      <c r="T14" s="176">
        <f t="shared" si="10"/>
        <v>0.40492218532406771</v>
      </c>
      <c r="U14" s="44">
        <f>Tongmuc2022!O15</f>
        <v>145743.06544564798</v>
      </c>
      <c r="V14" s="176">
        <f t="shared" si="11"/>
        <v>0.19500709614339112</v>
      </c>
      <c r="W14" s="9">
        <f t="shared" si="3"/>
        <v>156629.80745972419</v>
      </c>
      <c r="X14" s="177">
        <f t="shared" si="12"/>
        <v>0.20754772189843568</v>
      </c>
      <c r="Y14" s="190"/>
      <c r="Z14" s="190"/>
      <c r="AB14" s="45"/>
    </row>
    <row r="15" spans="1:28">
      <c r="A15" s="6">
        <v>7</v>
      </c>
      <c r="B15" s="7" t="s">
        <v>19</v>
      </c>
      <c r="C15" s="69" t="s">
        <v>77</v>
      </c>
      <c r="D15" s="8">
        <f>Tongmucthanhtoan2019_2021!E16</f>
        <v>9846</v>
      </c>
      <c r="E15" s="8">
        <f>Tongmucthanhtoan2019_2021!G16</f>
        <v>104709</v>
      </c>
      <c r="F15" s="9">
        <f t="shared" si="0"/>
        <v>114555</v>
      </c>
      <c r="G15" s="44">
        <f>Tongmucthanhtoan2019_2021!J16</f>
        <v>7925</v>
      </c>
      <c r="H15" s="176">
        <f t="shared" si="4"/>
        <v>-0.19510461100954701</v>
      </c>
      <c r="I15" s="44">
        <f>Tongmucthanhtoan2019_2021!L16</f>
        <v>86226</v>
      </c>
      <c r="J15" s="176">
        <f t="shared" si="5"/>
        <v>-0.17651777784144629</v>
      </c>
      <c r="K15" s="9">
        <f t="shared" si="1"/>
        <v>94151</v>
      </c>
      <c r="L15" s="177">
        <f t="shared" si="6"/>
        <v>-0.17811531578717646</v>
      </c>
      <c r="M15" s="44">
        <f>Tongmucthanhtoan2019_2021!O16</f>
        <v>6864</v>
      </c>
      <c r="N15" s="176">
        <f t="shared" si="7"/>
        <v>-0.1338801261829653</v>
      </c>
      <c r="O15" s="44">
        <f>Tongmucthanhtoan2019_2021!R16</f>
        <v>70332</v>
      </c>
      <c r="P15" s="176">
        <f t="shared" si="8"/>
        <v>-0.18432955257115025</v>
      </c>
      <c r="Q15" s="9">
        <f t="shared" si="2"/>
        <v>77196</v>
      </c>
      <c r="R15" s="177">
        <f t="shared" si="9"/>
        <v>-0.18008305806629776</v>
      </c>
      <c r="S15" s="44">
        <f>Tongmuc2022!L16</f>
        <v>9711.3391907119203</v>
      </c>
      <c r="T15" s="176">
        <f t="shared" si="10"/>
        <v>0.41482214316898608</v>
      </c>
      <c r="U15" s="44">
        <f>Tongmuc2022!O16</f>
        <v>101764.6934171016</v>
      </c>
      <c r="V15" s="176">
        <f t="shared" si="11"/>
        <v>0.44691880533898659</v>
      </c>
      <c r="W15" s="9">
        <f t="shared" si="3"/>
        <v>111476.03260781353</v>
      </c>
      <c r="X15" s="177">
        <f t="shared" si="12"/>
        <v>0.44406488170129965</v>
      </c>
      <c r="Y15" s="190"/>
      <c r="Z15" s="190"/>
      <c r="AB15" s="45"/>
    </row>
    <row r="16" spans="1:28">
      <c r="A16" s="6">
        <v>8</v>
      </c>
      <c r="B16" s="7" t="s">
        <v>20</v>
      </c>
      <c r="C16" s="69" t="s">
        <v>78</v>
      </c>
      <c r="D16" s="8">
        <f>Tongmucthanhtoan2019_2021!E17</f>
        <v>7994</v>
      </c>
      <c r="E16" s="8">
        <f>Tongmucthanhtoan2019_2021!G17</f>
        <v>76226</v>
      </c>
      <c r="F16" s="9">
        <f t="shared" si="0"/>
        <v>84220</v>
      </c>
      <c r="G16" s="44">
        <f>Tongmucthanhtoan2019_2021!J17</f>
        <v>6568</v>
      </c>
      <c r="H16" s="176">
        <f t="shared" si="4"/>
        <v>-0.17838378784088066</v>
      </c>
      <c r="I16" s="44">
        <f>Tongmucthanhtoan2019_2021!L17</f>
        <v>71592</v>
      </c>
      <c r="J16" s="176">
        <f t="shared" si="5"/>
        <v>-6.0792905307900193E-2</v>
      </c>
      <c r="K16" s="9">
        <f t="shared" si="1"/>
        <v>78160</v>
      </c>
      <c r="L16" s="177">
        <f t="shared" si="6"/>
        <v>-7.1954405129422944E-2</v>
      </c>
      <c r="M16" s="44">
        <f>Tongmucthanhtoan2019_2021!O17</f>
        <v>5938</v>
      </c>
      <c r="N16" s="176">
        <f t="shared" si="7"/>
        <v>-9.591961023142509E-2</v>
      </c>
      <c r="O16" s="44">
        <f>Tongmucthanhtoan2019_2021!R17</f>
        <v>63530</v>
      </c>
      <c r="P16" s="176">
        <f t="shared" si="8"/>
        <v>-0.11261034752486311</v>
      </c>
      <c r="Q16" s="9">
        <f t="shared" si="2"/>
        <v>69468</v>
      </c>
      <c r="R16" s="177">
        <f t="shared" si="9"/>
        <v>-0.11120777891504606</v>
      </c>
      <c r="S16" s="44">
        <f>Tongmuc2022!L17</f>
        <v>7819.3300366243993</v>
      </c>
      <c r="T16" s="176">
        <f t="shared" si="10"/>
        <v>0.31682890478686415</v>
      </c>
      <c r="U16" s="44">
        <f>Tongmuc2022!O17</f>
        <v>76273.724629857199</v>
      </c>
      <c r="V16" s="176">
        <f t="shared" si="11"/>
        <v>0.20059380811989924</v>
      </c>
      <c r="W16" s="9">
        <f t="shared" si="3"/>
        <v>84093.054666481592</v>
      </c>
      <c r="X16" s="177">
        <f t="shared" si="12"/>
        <v>0.21052937563312016</v>
      </c>
      <c r="Y16" s="190"/>
      <c r="Z16" s="190"/>
      <c r="AB16" s="45"/>
    </row>
    <row r="17" spans="1:28">
      <c r="A17" s="6">
        <v>9</v>
      </c>
      <c r="B17" s="7" t="s">
        <v>21</v>
      </c>
      <c r="C17" s="69" t="s">
        <v>79</v>
      </c>
      <c r="D17" s="8">
        <f>Tongmucthanhtoan2019_2021!E18</f>
        <v>13259</v>
      </c>
      <c r="E17" s="8">
        <f>Tongmucthanhtoan2019_2021!G18</f>
        <v>116924</v>
      </c>
      <c r="F17" s="9">
        <f t="shared" si="0"/>
        <v>130183</v>
      </c>
      <c r="G17" s="44">
        <f>Tongmucthanhtoan2019_2021!J18</f>
        <v>12693</v>
      </c>
      <c r="H17" s="176">
        <f t="shared" si="4"/>
        <v>-4.268798551926993E-2</v>
      </c>
      <c r="I17" s="44">
        <f>Tongmucthanhtoan2019_2021!L18</f>
        <v>108853</v>
      </c>
      <c r="J17" s="176">
        <f t="shared" si="5"/>
        <v>-6.9027744517806439E-2</v>
      </c>
      <c r="K17" s="9">
        <f t="shared" si="1"/>
        <v>121546</v>
      </c>
      <c r="L17" s="177">
        <f t="shared" si="6"/>
        <v>-6.6345068096448842E-2</v>
      </c>
      <c r="M17" s="44">
        <f>Tongmucthanhtoan2019_2021!O18</f>
        <v>10897</v>
      </c>
      <c r="N17" s="176">
        <f t="shared" si="7"/>
        <v>-0.14149531237690066</v>
      </c>
      <c r="O17" s="44">
        <f>Tongmucthanhtoan2019_2021!R18</f>
        <v>101257</v>
      </c>
      <c r="P17" s="176">
        <f t="shared" si="8"/>
        <v>-6.9782183311438359E-2</v>
      </c>
      <c r="Q17" s="9">
        <f t="shared" si="2"/>
        <v>112154</v>
      </c>
      <c r="R17" s="177">
        <f t="shared" si="9"/>
        <v>-7.7271156599147642E-2</v>
      </c>
      <c r="S17" s="44">
        <f>Tongmuc2022!L18</f>
        <v>14270.05419862736</v>
      </c>
      <c r="T17" s="176">
        <f t="shared" si="10"/>
        <v>0.30953970805059744</v>
      </c>
      <c r="U17" s="44">
        <f>Tongmuc2022!O18</f>
        <v>115638.9671093666</v>
      </c>
      <c r="V17" s="176">
        <f t="shared" si="11"/>
        <v>0.14203429994337771</v>
      </c>
      <c r="W17" s="9">
        <f t="shared" si="3"/>
        <v>129909.02130799396</v>
      </c>
      <c r="X17" s="177">
        <f t="shared" si="12"/>
        <v>0.15830930067580254</v>
      </c>
      <c r="Y17" s="190"/>
      <c r="Z17" s="190"/>
      <c r="AB17" s="45"/>
    </row>
    <row r="18" spans="1:28">
      <c r="A18" s="6">
        <v>10</v>
      </c>
      <c r="B18" s="7" t="s">
        <v>22</v>
      </c>
      <c r="C18" s="69" t="s">
        <v>80</v>
      </c>
      <c r="D18" s="8">
        <f>Tongmucthanhtoan2019_2021!E19</f>
        <v>2983</v>
      </c>
      <c r="E18" s="8">
        <f>Tongmucthanhtoan2019_2021!G19</f>
        <v>35571</v>
      </c>
      <c r="F18" s="9">
        <f t="shared" si="0"/>
        <v>38554</v>
      </c>
      <c r="G18" s="44">
        <f>Tongmucthanhtoan2019_2021!J19</f>
        <v>2615</v>
      </c>
      <c r="H18" s="176">
        <f t="shared" si="4"/>
        <v>-0.12336573918873617</v>
      </c>
      <c r="I18" s="44">
        <f>Tongmucthanhtoan2019_2021!L19</f>
        <v>32387</v>
      </c>
      <c r="J18" s="176">
        <f t="shared" si="5"/>
        <v>-8.9511118607854712E-2</v>
      </c>
      <c r="K18" s="9">
        <f t="shared" si="1"/>
        <v>35002</v>
      </c>
      <c r="L18" s="177">
        <f t="shared" si="6"/>
        <v>-9.2130518234165071E-2</v>
      </c>
      <c r="M18" s="44">
        <f>Tongmucthanhtoan2019_2021!O19</f>
        <v>2231</v>
      </c>
      <c r="N18" s="176">
        <f t="shared" si="7"/>
        <v>-0.1468451242829828</v>
      </c>
      <c r="O18" s="44">
        <f>Tongmucthanhtoan2019_2021!R19</f>
        <v>28404</v>
      </c>
      <c r="P18" s="176">
        <f t="shared" si="8"/>
        <v>-0.12298144317164295</v>
      </c>
      <c r="Q18" s="9">
        <f t="shared" si="2"/>
        <v>30635</v>
      </c>
      <c r="R18" s="177">
        <f t="shared" si="9"/>
        <v>-0.12476429918290384</v>
      </c>
      <c r="S18" s="44">
        <f>Tongmuc2022!L19</f>
        <v>2919.1614654477999</v>
      </c>
      <c r="T18" s="176">
        <f t="shared" si="10"/>
        <v>0.30845426510434776</v>
      </c>
      <c r="U18" s="44">
        <f>Tongmuc2022!O19</f>
        <v>34968.4434904152</v>
      </c>
      <c r="V18" s="176">
        <f t="shared" si="11"/>
        <v>0.23110982574338826</v>
      </c>
      <c r="W18" s="9">
        <f t="shared" si="3"/>
        <v>37887.604955863004</v>
      </c>
      <c r="X18" s="177">
        <f t="shared" si="12"/>
        <v>0.23674245000368871</v>
      </c>
      <c r="Y18" s="190"/>
      <c r="Z18" s="190"/>
      <c r="AB18" s="45"/>
    </row>
    <row r="19" spans="1:28">
      <c r="A19" s="6">
        <v>11</v>
      </c>
      <c r="B19" s="7" t="s">
        <v>23</v>
      </c>
      <c r="C19" s="69" t="s">
        <v>81</v>
      </c>
      <c r="D19" s="8">
        <f>Tongmucthanhtoan2019_2021!E20</f>
        <v>6817</v>
      </c>
      <c r="E19" s="8">
        <f>Tongmucthanhtoan2019_2021!G20</f>
        <v>58772</v>
      </c>
      <c r="F19" s="9">
        <f t="shared" si="0"/>
        <v>65589</v>
      </c>
      <c r="G19" s="44">
        <f>Tongmucthanhtoan2019_2021!J20</f>
        <v>6708</v>
      </c>
      <c r="H19" s="176">
        <f t="shared" si="4"/>
        <v>-1.5989438169282676E-2</v>
      </c>
      <c r="I19" s="44">
        <f>Tongmucthanhtoan2019_2021!L20</f>
        <v>56974</v>
      </c>
      <c r="J19" s="176">
        <f t="shared" si="5"/>
        <v>-3.0592799292179951E-2</v>
      </c>
      <c r="K19" s="9">
        <f t="shared" si="1"/>
        <v>63682</v>
      </c>
      <c r="L19" s="177">
        <f t="shared" si="6"/>
        <v>-2.9074997331869672E-2</v>
      </c>
      <c r="M19" s="44">
        <f>Tongmucthanhtoan2019_2021!O20</f>
        <v>5749</v>
      </c>
      <c r="N19" s="176">
        <f t="shared" si="7"/>
        <v>-0.14296362552176506</v>
      </c>
      <c r="O19" s="44">
        <f>Tongmucthanhtoan2019_2021!R20</f>
        <v>52260</v>
      </c>
      <c r="P19" s="176">
        <f t="shared" si="8"/>
        <v>-8.2739495208340647E-2</v>
      </c>
      <c r="Q19" s="9">
        <f t="shared" si="2"/>
        <v>58009</v>
      </c>
      <c r="R19" s="177">
        <f t="shared" si="9"/>
        <v>-8.9083257435382049E-2</v>
      </c>
      <c r="S19" s="44">
        <f>Tongmuc2022!L20</f>
        <v>6919.9672527888706</v>
      </c>
      <c r="T19" s="176">
        <f t="shared" si="10"/>
        <v>0.20368190168531408</v>
      </c>
      <c r="U19" s="44">
        <f>Tongmuc2022!O20</f>
        <v>58775.827313466798</v>
      </c>
      <c r="V19" s="176">
        <f t="shared" si="11"/>
        <v>0.12468096657992342</v>
      </c>
      <c r="W19" s="9">
        <f t="shared" si="3"/>
        <v>65695.794566255674</v>
      </c>
      <c r="X19" s="177">
        <f t="shared" si="12"/>
        <v>0.13251037884217404</v>
      </c>
      <c r="Y19" s="190"/>
      <c r="Z19" s="190"/>
      <c r="AB19" s="45"/>
    </row>
    <row r="20" spans="1:28">
      <c r="A20" s="6">
        <v>12</v>
      </c>
      <c r="B20" s="7" t="s">
        <v>24</v>
      </c>
      <c r="C20" s="69" t="s">
        <v>82</v>
      </c>
      <c r="D20" s="8">
        <f>Tongmucthanhtoan2019_2021!E21</f>
        <v>4848</v>
      </c>
      <c r="E20" s="8">
        <f>Tongmucthanhtoan2019_2021!G21</f>
        <v>27829</v>
      </c>
      <c r="F20" s="9">
        <f t="shared" si="0"/>
        <v>32677</v>
      </c>
      <c r="G20" s="44">
        <f>Tongmucthanhtoan2019_2021!J21</f>
        <v>3723</v>
      </c>
      <c r="H20" s="176">
        <f t="shared" si="4"/>
        <v>-0.23205445544554457</v>
      </c>
      <c r="I20" s="44">
        <f>Tongmucthanhtoan2019_2021!L21</f>
        <v>27523</v>
      </c>
      <c r="J20" s="176">
        <f t="shared" si="5"/>
        <v>-1.0995723885155772E-2</v>
      </c>
      <c r="K20" s="9">
        <f t="shared" si="1"/>
        <v>31246</v>
      </c>
      <c r="L20" s="177">
        <f t="shared" si="6"/>
        <v>-4.3792269792208585E-2</v>
      </c>
      <c r="M20" s="44">
        <f>Tongmucthanhtoan2019_2021!O21</f>
        <v>3271</v>
      </c>
      <c r="N20" s="176">
        <f t="shared" si="7"/>
        <v>-0.12140746709642761</v>
      </c>
      <c r="O20" s="44">
        <f>Tongmucthanhtoan2019_2021!R21</f>
        <v>23432</v>
      </c>
      <c r="P20" s="176">
        <f t="shared" si="8"/>
        <v>-0.14863931984158704</v>
      </c>
      <c r="Q20" s="9">
        <f t="shared" si="2"/>
        <v>26703</v>
      </c>
      <c r="R20" s="177">
        <f t="shared" si="9"/>
        <v>-0.14539461051014529</v>
      </c>
      <c r="S20" s="44">
        <f>Tongmuc2022!L21</f>
        <v>4790.1447298024577</v>
      </c>
      <c r="T20" s="176">
        <f t="shared" si="10"/>
        <v>0.46442822678155232</v>
      </c>
      <c r="U20" s="44">
        <f>Tongmuc2022!O21</f>
        <v>27931.213127195078</v>
      </c>
      <c r="V20" s="176">
        <f t="shared" si="11"/>
        <v>0.19201148545557692</v>
      </c>
      <c r="W20" s="9">
        <f t="shared" si="3"/>
        <v>32721.357856997536</v>
      </c>
      <c r="X20" s="177">
        <f t="shared" si="12"/>
        <v>0.22538133756497533</v>
      </c>
      <c r="Y20" s="190"/>
      <c r="Z20" s="190"/>
      <c r="AB20" s="45"/>
    </row>
    <row r="21" spans="1:28">
      <c r="A21" s="6">
        <v>13</v>
      </c>
      <c r="B21" s="7" t="s">
        <v>25</v>
      </c>
      <c r="C21" s="69" t="s">
        <v>83</v>
      </c>
      <c r="D21" s="8">
        <f>Tongmucthanhtoan2019_2021!E22</f>
        <v>33979</v>
      </c>
      <c r="E21" s="8">
        <f>Tongmucthanhtoan2019_2021!G22</f>
        <v>142775</v>
      </c>
      <c r="F21" s="9">
        <f t="shared" si="0"/>
        <v>176754</v>
      </c>
      <c r="G21" s="44">
        <f>Tongmucthanhtoan2019_2021!J22</f>
        <v>29570</v>
      </c>
      <c r="H21" s="176">
        <f t="shared" si="4"/>
        <v>-0.12975661437946967</v>
      </c>
      <c r="I21" s="44">
        <f>Tongmucthanhtoan2019_2021!L22</f>
        <v>134777</v>
      </c>
      <c r="J21" s="176">
        <f t="shared" si="5"/>
        <v>-5.6018210471020839E-2</v>
      </c>
      <c r="K21" s="9">
        <f t="shared" si="1"/>
        <v>164347</v>
      </c>
      <c r="L21" s="177">
        <f t="shared" si="6"/>
        <v>-7.0193602407866304E-2</v>
      </c>
      <c r="M21" s="44">
        <f>Tongmucthanhtoan2019_2021!O22</f>
        <v>25807</v>
      </c>
      <c r="N21" s="176">
        <f t="shared" si="7"/>
        <v>-0.12725735542779845</v>
      </c>
      <c r="O21" s="44">
        <f>Tongmucthanhtoan2019_2021!R22</f>
        <v>124789</v>
      </c>
      <c r="P21" s="176">
        <f t="shared" si="8"/>
        <v>-7.4107599961417747E-2</v>
      </c>
      <c r="Q21" s="9">
        <f t="shared" si="2"/>
        <v>150596</v>
      </c>
      <c r="R21" s="177">
        <f t="shared" si="9"/>
        <v>-8.367052638624374E-2</v>
      </c>
      <c r="S21" s="44">
        <f>Tongmuc2022!L22</f>
        <v>33612.211347233642</v>
      </c>
      <c r="T21" s="176">
        <f t="shared" si="10"/>
        <v>0.30244551273815795</v>
      </c>
      <c r="U21" s="44">
        <f>Tongmuc2022!O22</f>
        <v>144501.93902684216</v>
      </c>
      <c r="V21" s="176">
        <f t="shared" si="11"/>
        <v>0.15797016585469997</v>
      </c>
      <c r="W21" s="9">
        <f t="shared" si="3"/>
        <v>178114.15037407581</v>
      </c>
      <c r="X21" s="177">
        <f t="shared" si="12"/>
        <v>0.18272829540011556</v>
      </c>
      <c r="Y21" s="190"/>
      <c r="Z21" s="190"/>
      <c r="AB21" s="45"/>
    </row>
    <row r="22" spans="1:28">
      <c r="A22" s="6">
        <v>14</v>
      </c>
      <c r="B22" s="7" t="s">
        <v>26</v>
      </c>
      <c r="C22" s="69" t="s">
        <v>84</v>
      </c>
      <c r="D22" s="8">
        <f>Tongmucthanhtoan2019_2021!E23</f>
        <v>3161</v>
      </c>
      <c r="E22" s="8">
        <f>Tongmucthanhtoan2019_2021!G23</f>
        <v>12444</v>
      </c>
      <c r="F22" s="9">
        <f t="shared" si="0"/>
        <v>15605</v>
      </c>
      <c r="G22" s="44">
        <f>Tongmucthanhtoan2019_2021!J23</f>
        <v>2190</v>
      </c>
      <c r="H22" s="176">
        <f t="shared" si="4"/>
        <v>-0.30718127174944637</v>
      </c>
      <c r="I22" s="44">
        <f>Tongmucthanhtoan2019_2021!L23</f>
        <v>10235</v>
      </c>
      <c r="J22" s="176">
        <f t="shared" si="5"/>
        <v>-0.17751526840244294</v>
      </c>
      <c r="K22" s="9">
        <f t="shared" si="1"/>
        <v>12425</v>
      </c>
      <c r="L22" s="177">
        <f t="shared" si="6"/>
        <v>-0.20378083947452741</v>
      </c>
      <c r="M22" s="44">
        <f>Tongmucthanhtoan2019_2021!O23</f>
        <v>1856</v>
      </c>
      <c r="N22" s="176">
        <f t="shared" si="7"/>
        <v>-0.15251141552511416</v>
      </c>
      <c r="O22" s="44">
        <f>Tongmucthanhtoan2019_2021!R23</f>
        <v>6277</v>
      </c>
      <c r="P22" s="176">
        <f t="shared" si="8"/>
        <v>-0.38671226184660479</v>
      </c>
      <c r="Q22" s="9">
        <f t="shared" si="2"/>
        <v>8133</v>
      </c>
      <c r="R22" s="177">
        <f t="shared" si="9"/>
        <v>-0.34543259557344064</v>
      </c>
      <c r="S22" s="44">
        <f>Tongmuc2022!L23</f>
        <v>3101.4420000775763</v>
      </c>
      <c r="T22" s="176">
        <f t="shared" si="10"/>
        <v>0.67103556038662515</v>
      </c>
      <c r="U22" s="44">
        <f>Tongmuc2022!O23</f>
        <v>11910.607015842601</v>
      </c>
      <c r="V22" s="176">
        <f t="shared" si="11"/>
        <v>0.89749992286802627</v>
      </c>
      <c r="W22" s="9">
        <f t="shared" si="3"/>
        <v>15012.049015920176</v>
      </c>
      <c r="X22" s="177">
        <f t="shared" si="12"/>
        <v>0.84581937980083322</v>
      </c>
      <c r="Y22" s="190"/>
      <c r="Z22" s="190"/>
      <c r="AB22" s="45"/>
    </row>
    <row r="23" spans="1:28">
      <c r="A23" s="6">
        <v>15</v>
      </c>
      <c r="B23" s="7" t="s">
        <v>27</v>
      </c>
      <c r="C23" s="69" t="s">
        <v>85</v>
      </c>
      <c r="D23" s="8">
        <f>Tongmucthanhtoan2019_2021!E24</f>
        <v>3388</v>
      </c>
      <c r="E23" s="8">
        <f>Tongmucthanhtoan2019_2021!G24</f>
        <v>2022</v>
      </c>
      <c r="F23" s="9">
        <f t="shared" si="0"/>
        <v>5410</v>
      </c>
      <c r="G23" s="44">
        <f>Tongmucthanhtoan2019_2021!J24</f>
        <v>2994</v>
      </c>
      <c r="H23" s="176">
        <f t="shared" si="4"/>
        <v>-0.11629279811097992</v>
      </c>
      <c r="I23" s="44">
        <f>Tongmucthanhtoan2019_2021!L24</f>
        <v>1991</v>
      </c>
      <c r="J23" s="176">
        <f t="shared" si="5"/>
        <v>-1.5331355093966371E-2</v>
      </c>
      <c r="K23" s="9">
        <f t="shared" si="1"/>
        <v>4985</v>
      </c>
      <c r="L23" s="177">
        <f t="shared" si="6"/>
        <v>-7.8558225508317925E-2</v>
      </c>
      <c r="M23" s="44">
        <f>Tongmucthanhtoan2019_2021!O24</f>
        <v>2501</v>
      </c>
      <c r="N23" s="176">
        <f t="shared" si="7"/>
        <v>-0.16466265865063459</v>
      </c>
      <c r="O23" s="44">
        <f>Tongmucthanhtoan2019_2021!R24</f>
        <v>1646</v>
      </c>
      <c r="P23" s="176">
        <f t="shared" si="8"/>
        <v>-0.17327975891511804</v>
      </c>
      <c r="Q23" s="9">
        <f t="shared" si="2"/>
        <v>4147</v>
      </c>
      <c r="R23" s="177">
        <f t="shared" si="9"/>
        <v>-0.16810431293881645</v>
      </c>
      <c r="S23" s="44">
        <f>Tongmuc2022!L24</f>
        <v>3348.0577614106214</v>
      </c>
      <c r="T23" s="176">
        <f t="shared" si="10"/>
        <v>0.33868762951244358</v>
      </c>
      <c r="U23" s="44">
        <f>Tongmuc2022!O24</f>
        <v>1990.5162062748</v>
      </c>
      <c r="V23" s="176">
        <f t="shared" si="11"/>
        <v>0.20930510709283109</v>
      </c>
      <c r="W23" s="9">
        <f t="shared" si="3"/>
        <v>5338.5739676854209</v>
      </c>
      <c r="X23" s="177">
        <f t="shared" si="12"/>
        <v>0.2873339685761806</v>
      </c>
      <c r="Y23" s="190"/>
      <c r="Z23" s="190"/>
      <c r="AB23" s="45"/>
    </row>
    <row r="24" spans="1:28">
      <c r="A24" s="6">
        <v>16</v>
      </c>
      <c r="B24" s="7" t="s">
        <v>28</v>
      </c>
      <c r="C24" s="69" t="s">
        <v>86</v>
      </c>
      <c r="D24" s="8">
        <f>Tongmucthanhtoan2019_2021!E25</f>
        <v>5226</v>
      </c>
      <c r="E24" s="8">
        <f>Tongmucthanhtoan2019_2021!G25</f>
        <v>1714</v>
      </c>
      <c r="F24" s="9">
        <f t="shared" si="0"/>
        <v>6940</v>
      </c>
      <c r="G24" s="44">
        <f>Tongmucthanhtoan2019_2021!J25</f>
        <v>4253</v>
      </c>
      <c r="H24" s="176">
        <f t="shared" si="4"/>
        <v>-0.18618446230386529</v>
      </c>
      <c r="I24" s="44">
        <f>Tongmucthanhtoan2019_2021!L25</f>
        <v>3110</v>
      </c>
      <c r="J24" s="176">
        <f t="shared" si="5"/>
        <v>0.8144690781796966</v>
      </c>
      <c r="K24" s="9">
        <f t="shared" si="1"/>
        <v>7363</v>
      </c>
      <c r="L24" s="177">
        <f t="shared" si="6"/>
        <v>6.0951008645533142E-2</v>
      </c>
      <c r="M24" s="44">
        <f>Tongmucthanhtoan2019_2021!O25</f>
        <v>3796</v>
      </c>
      <c r="N24" s="176">
        <f t="shared" si="7"/>
        <v>-0.10745356219139431</v>
      </c>
      <c r="O24" s="44">
        <f>Tongmucthanhtoan2019_2021!R25</f>
        <v>3818</v>
      </c>
      <c r="P24" s="176">
        <f t="shared" si="8"/>
        <v>0.22765273311897105</v>
      </c>
      <c r="Q24" s="9">
        <f t="shared" si="2"/>
        <v>7614</v>
      </c>
      <c r="R24" s="177">
        <f t="shared" si="9"/>
        <v>3.4089365747657203E-2</v>
      </c>
      <c r="S24" s="44">
        <f>Tongmuc2022!L25</f>
        <v>5161.5034481573166</v>
      </c>
      <c r="T24" s="176">
        <f t="shared" si="10"/>
        <v>0.35972166705935632</v>
      </c>
      <c r="U24" s="44">
        <f>Tongmuc2022!O25</f>
        <v>4284.10302736632</v>
      </c>
      <c r="V24" s="176">
        <f t="shared" si="11"/>
        <v>0.12208041575859613</v>
      </c>
      <c r="W24" s="9">
        <f t="shared" si="3"/>
        <v>9445.6064755236366</v>
      </c>
      <c r="X24" s="177">
        <f t="shared" si="12"/>
        <v>0.24055771940158086</v>
      </c>
      <c r="Y24" s="190"/>
      <c r="Z24" s="190"/>
      <c r="AB24" s="45"/>
    </row>
    <row r="25" spans="1:28">
      <c r="A25" s="6">
        <v>17</v>
      </c>
      <c r="B25" s="7" t="s">
        <v>29</v>
      </c>
      <c r="C25" s="69" t="s">
        <v>87</v>
      </c>
      <c r="D25" s="8">
        <f>Tongmucthanhtoan2019_2021!E26</f>
        <v>2116</v>
      </c>
      <c r="E25" s="8">
        <f>Tongmucthanhtoan2019_2021!G26</f>
        <v>20199</v>
      </c>
      <c r="F25" s="9">
        <f t="shared" si="0"/>
        <v>22315</v>
      </c>
      <c r="G25" s="44">
        <f>Tongmucthanhtoan2019_2021!J26</f>
        <v>2053</v>
      </c>
      <c r="H25" s="176">
        <f t="shared" si="4"/>
        <v>-2.9773156899810964E-2</v>
      </c>
      <c r="I25" s="44">
        <f>Tongmucthanhtoan2019_2021!L26</f>
        <v>20630</v>
      </c>
      <c r="J25" s="176">
        <f t="shared" si="5"/>
        <v>2.1337689984652707E-2</v>
      </c>
      <c r="K25" s="9">
        <f t="shared" ref="K25:K42" si="13">+G25+I25</f>
        <v>22683</v>
      </c>
      <c r="L25" s="177">
        <f t="shared" si="6"/>
        <v>1.6491149451041898E-2</v>
      </c>
      <c r="M25" s="44">
        <f>Tongmucthanhtoan2019_2021!O26</f>
        <v>2118</v>
      </c>
      <c r="N25" s="176">
        <f t="shared" si="7"/>
        <v>3.1660983925962005E-2</v>
      </c>
      <c r="O25" s="44">
        <f>Tongmucthanhtoan2019_2021!R26</f>
        <v>17018</v>
      </c>
      <c r="P25" s="176">
        <f t="shared" si="8"/>
        <v>-0.17508482792050412</v>
      </c>
      <c r="Q25" s="9">
        <f t="shared" si="2"/>
        <v>19136</v>
      </c>
      <c r="R25" s="177">
        <f t="shared" si="9"/>
        <v>-0.15637261385178328</v>
      </c>
      <c r="S25" s="44">
        <f>Tongmuc2022!L26</f>
        <v>2259.9164035941399</v>
      </c>
      <c r="T25" s="176">
        <f t="shared" si="10"/>
        <v>6.7004911989678881E-2</v>
      </c>
      <c r="U25" s="44">
        <f>Tongmuc2022!O26</f>
        <v>19935.182443328402</v>
      </c>
      <c r="V25" s="176">
        <f t="shared" si="11"/>
        <v>0.17141746640782712</v>
      </c>
      <c r="W25" s="9">
        <f t="shared" si="3"/>
        <v>22195.098846922541</v>
      </c>
      <c r="X25" s="177">
        <f t="shared" si="12"/>
        <v>0.15986093472630336</v>
      </c>
      <c r="Y25" s="190"/>
      <c r="Z25" s="190"/>
      <c r="AB25" s="45"/>
    </row>
    <row r="26" spans="1:28">
      <c r="A26" s="6">
        <v>18</v>
      </c>
      <c r="B26" s="7" t="s">
        <v>30</v>
      </c>
      <c r="C26" s="69" t="s">
        <v>88</v>
      </c>
      <c r="D26" s="8">
        <f>Tongmucthanhtoan2019_2021!E27</f>
        <v>3156</v>
      </c>
      <c r="E26" s="8">
        <f>Tongmucthanhtoan2019_2021!G27</f>
        <v>3381</v>
      </c>
      <c r="F26" s="9">
        <f t="shared" si="0"/>
        <v>6537</v>
      </c>
      <c r="G26" s="44">
        <f>Tongmucthanhtoan2019_2021!J27</f>
        <v>2859</v>
      </c>
      <c r="H26" s="176">
        <f t="shared" si="4"/>
        <v>-9.4106463878326996E-2</v>
      </c>
      <c r="I26" s="44">
        <f>Tongmucthanhtoan2019_2021!L27</f>
        <v>3697</v>
      </c>
      <c r="J26" s="176">
        <f t="shared" si="5"/>
        <v>9.3463472345459916E-2</v>
      </c>
      <c r="K26" s="9">
        <f t="shared" si="13"/>
        <v>6556</v>
      </c>
      <c r="L26" s="177">
        <f t="shared" si="6"/>
        <v>2.9065320483402171E-3</v>
      </c>
      <c r="M26" s="44">
        <f>Tongmucthanhtoan2019_2021!O27</f>
        <v>2744</v>
      </c>
      <c r="N26" s="176">
        <f t="shared" si="7"/>
        <v>-4.0223854494578527E-2</v>
      </c>
      <c r="O26" s="44">
        <f>Tongmucthanhtoan2019_2021!R27</f>
        <v>2882</v>
      </c>
      <c r="P26" s="176">
        <f t="shared" si="8"/>
        <v>-0.22044901271301054</v>
      </c>
      <c r="Q26" s="9">
        <f t="shared" si="2"/>
        <v>5626</v>
      </c>
      <c r="R26" s="177">
        <f t="shared" si="9"/>
        <v>-0.14185478950579622</v>
      </c>
      <c r="S26" s="44">
        <f>Tongmuc2022!L27</f>
        <v>3138.1353606240236</v>
      </c>
      <c r="T26" s="176">
        <f t="shared" si="10"/>
        <v>0.14363533550438179</v>
      </c>
      <c r="U26" s="44">
        <f>Tongmuc2022!O27</f>
        <v>3446.15647596588</v>
      </c>
      <c r="V26" s="176">
        <f t="shared" si="11"/>
        <v>0.19575172656692574</v>
      </c>
      <c r="W26" s="9">
        <f t="shared" si="3"/>
        <v>6584.2918365899041</v>
      </c>
      <c r="X26" s="177">
        <f t="shared" si="12"/>
        <v>0.17033271180055173</v>
      </c>
      <c r="Y26" s="190"/>
      <c r="Z26" s="190"/>
      <c r="AB26" s="45"/>
    </row>
    <row r="27" spans="1:28">
      <c r="A27" s="6">
        <v>19</v>
      </c>
      <c r="B27" s="7" t="s">
        <v>31</v>
      </c>
      <c r="C27" s="69" t="s">
        <v>89</v>
      </c>
      <c r="D27" s="8">
        <f>Tongmucthanhtoan2019_2021!E28</f>
        <v>11025</v>
      </c>
      <c r="E27" s="8">
        <f>Tongmucthanhtoan2019_2021!G28</f>
        <v>16763</v>
      </c>
      <c r="F27" s="9">
        <f t="shared" si="0"/>
        <v>27788</v>
      </c>
      <c r="G27" s="44">
        <f>Tongmucthanhtoan2019_2021!J28</f>
        <v>10088</v>
      </c>
      <c r="H27" s="176">
        <f t="shared" si="4"/>
        <v>-8.4988662131519274E-2</v>
      </c>
      <c r="I27" s="44">
        <f>Tongmucthanhtoan2019_2021!L28</f>
        <v>16540</v>
      </c>
      <c r="J27" s="176">
        <f t="shared" si="5"/>
        <v>-1.3303108035554494E-2</v>
      </c>
      <c r="K27" s="9">
        <f t="shared" si="13"/>
        <v>26628</v>
      </c>
      <c r="L27" s="177">
        <f t="shared" si="6"/>
        <v>-4.1744637973225855E-2</v>
      </c>
      <c r="M27" s="44">
        <f>Tongmucthanhtoan2019_2021!O28</f>
        <v>8730</v>
      </c>
      <c r="N27" s="176">
        <f t="shared" si="7"/>
        <v>-0.13461538461538461</v>
      </c>
      <c r="O27" s="44">
        <f>Tongmucthanhtoan2019_2021!R28</f>
        <v>13643</v>
      </c>
      <c r="P27" s="176">
        <f t="shared" si="8"/>
        <v>-0.17515114873035068</v>
      </c>
      <c r="Q27" s="9">
        <f t="shared" si="2"/>
        <v>22373</v>
      </c>
      <c r="R27" s="177">
        <f t="shared" si="9"/>
        <v>-0.15979420159230884</v>
      </c>
      <c r="S27" s="44">
        <f>Tongmuc2022!L28</f>
        <v>10979.533004637802</v>
      </c>
      <c r="T27" s="176">
        <f t="shared" si="10"/>
        <v>0.25767846559424995</v>
      </c>
      <c r="U27" s="44">
        <f>Tongmuc2022!O28</f>
        <v>17447.812341402921</v>
      </c>
      <c r="V27" s="176">
        <f t="shared" si="11"/>
        <v>0.27888384823007561</v>
      </c>
      <c r="W27" s="9">
        <f t="shared" si="3"/>
        <v>28427.345346040725</v>
      </c>
      <c r="X27" s="177">
        <f t="shared" si="12"/>
        <v>0.27060945541682946</v>
      </c>
      <c r="Y27" s="190"/>
      <c r="Z27" s="190"/>
      <c r="AB27" s="45"/>
    </row>
    <row r="28" spans="1:28">
      <c r="A28" s="6">
        <v>20</v>
      </c>
      <c r="B28" s="7" t="s">
        <v>32</v>
      </c>
      <c r="C28" s="69" t="s">
        <v>91</v>
      </c>
      <c r="D28" s="8">
        <f>Tongmucthanhtoan2019_2021!E29</f>
        <v>12622</v>
      </c>
      <c r="E28" s="8">
        <f>Tongmucthanhtoan2019_2021!G29</f>
        <v>47048</v>
      </c>
      <c r="F28" s="9">
        <f t="shared" si="0"/>
        <v>59670</v>
      </c>
      <c r="G28" s="44">
        <f>Tongmucthanhtoan2019_2021!J29</f>
        <v>9554</v>
      </c>
      <c r="H28" s="176">
        <f t="shared" si="4"/>
        <v>-0.24306765964189511</v>
      </c>
      <c r="I28" s="44">
        <f>Tongmucthanhtoan2019_2021!L29</f>
        <v>40393</v>
      </c>
      <c r="J28" s="176">
        <f t="shared" si="5"/>
        <v>-0.14145128379527291</v>
      </c>
      <c r="K28" s="9">
        <f t="shared" si="13"/>
        <v>49947</v>
      </c>
      <c r="L28" s="177">
        <f t="shared" si="6"/>
        <v>-0.16294620412267471</v>
      </c>
      <c r="M28" s="44">
        <f>Tongmucthanhtoan2019_2021!O29</f>
        <v>7195</v>
      </c>
      <c r="N28" s="176">
        <f t="shared" si="7"/>
        <v>-0.24691228804689136</v>
      </c>
      <c r="O28" s="44">
        <f>Tongmucthanhtoan2019_2021!R29</f>
        <v>21979</v>
      </c>
      <c r="P28" s="176">
        <f t="shared" si="8"/>
        <v>-0.45587106676899464</v>
      </c>
      <c r="Q28" s="9">
        <f t="shared" si="2"/>
        <v>29174</v>
      </c>
      <c r="R28" s="177">
        <f t="shared" si="9"/>
        <v>-0.41590085490620055</v>
      </c>
      <c r="S28" s="44">
        <f>Tongmuc2022!L29</f>
        <v>12153.982557990999</v>
      </c>
      <c r="T28" s="176">
        <f t="shared" si="10"/>
        <v>0.68922620680903401</v>
      </c>
      <c r="U28" s="44">
        <f>Tongmuc2022!O29</f>
        <v>44876.841422250189</v>
      </c>
      <c r="V28" s="176">
        <f t="shared" si="11"/>
        <v>1.0418054243709991</v>
      </c>
      <c r="W28" s="9">
        <f t="shared" si="3"/>
        <v>57030.823980241184</v>
      </c>
      <c r="X28" s="177">
        <f t="shared" si="12"/>
        <v>0.95485103106331615</v>
      </c>
      <c r="Y28" s="190"/>
      <c r="Z28" s="190"/>
      <c r="AB28" s="45"/>
    </row>
    <row r="29" spans="1:28">
      <c r="A29" s="6">
        <v>21</v>
      </c>
      <c r="B29" s="7" t="s">
        <v>33</v>
      </c>
      <c r="C29" s="69" t="s">
        <v>93</v>
      </c>
      <c r="D29" s="8">
        <f>Tongmucthanhtoan2019_2021!E30</f>
        <v>3980</v>
      </c>
      <c r="E29" s="8">
        <f>Tongmucthanhtoan2019_2021!G30</f>
        <v>74734</v>
      </c>
      <c r="F29" s="9">
        <f t="shared" si="0"/>
        <v>78714</v>
      </c>
      <c r="G29" s="44">
        <f>Tongmucthanhtoan2019_2021!J30</f>
        <v>3358</v>
      </c>
      <c r="H29" s="176">
        <f t="shared" si="4"/>
        <v>-0.15628140703517587</v>
      </c>
      <c r="I29" s="44">
        <f>Tongmucthanhtoan2019_2021!L30</f>
        <v>75492</v>
      </c>
      <c r="J29" s="176">
        <f t="shared" si="5"/>
        <v>1.0142639227125539E-2</v>
      </c>
      <c r="K29" s="9">
        <f t="shared" si="13"/>
        <v>78850</v>
      </c>
      <c r="L29" s="177">
        <f t="shared" si="6"/>
        <v>1.7277739665116751E-3</v>
      </c>
      <c r="M29" s="44">
        <f>Tongmucthanhtoan2019_2021!O30</f>
        <v>3024</v>
      </c>
      <c r="N29" s="176">
        <f t="shared" si="7"/>
        <v>-9.9463966646813576E-2</v>
      </c>
      <c r="O29" s="44">
        <f>Tongmucthanhtoan2019_2021!R30</f>
        <v>69151</v>
      </c>
      <c r="P29" s="176">
        <f t="shared" si="8"/>
        <v>-8.3995655168759606E-2</v>
      </c>
      <c r="Q29" s="9">
        <f t="shared" si="2"/>
        <v>72175</v>
      </c>
      <c r="R29" s="177">
        <f t="shared" si="9"/>
        <v>-8.4654407102092585E-2</v>
      </c>
      <c r="S29" s="44">
        <f>Tongmuc2022!L30</f>
        <v>3898.9977103711999</v>
      </c>
      <c r="T29" s="176">
        <f t="shared" si="10"/>
        <v>0.28935109469947085</v>
      </c>
      <c r="U29" s="44">
        <f>Tongmuc2022!O30</f>
        <v>75645.935987581237</v>
      </c>
      <c r="V29" s="176">
        <f t="shared" si="11"/>
        <v>9.3923963320577245E-2</v>
      </c>
      <c r="W29" s="9">
        <f t="shared" si="3"/>
        <v>79544.933697952438</v>
      </c>
      <c r="X29" s="177">
        <f t="shared" si="12"/>
        <v>0.10211200135715189</v>
      </c>
      <c r="Y29" s="190"/>
      <c r="Z29" s="190"/>
      <c r="AB29" s="45"/>
    </row>
    <row r="30" spans="1:28">
      <c r="A30" s="6">
        <v>22</v>
      </c>
      <c r="B30" s="7" t="s">
        <v>34</v>
      </c>
      <c r="C30" s="69" t="s">
        <v>94</v>
      </c>
      <c r="D30" s="8">
        <f>Tongmucthanhtoan2019_2021!E31</f>
        <v>0</v>
      </c>
      <c r="E30" s="8">
        <f>Tongmucthanhtoan2019_2021!G31</f>
        <v>11643</v>
      </c>
      <c r="F30" s="9">
        <f t="shared" si="0"/>
        <v>11643</v>
      </c>
      <c r="G30" s="44">
        <f>Tongmucthanhtoan2019_2021!J31</f>
        <v>0</v>
      </c>
      <c r="H30" s="176"/>
      <c r="I30" s="44">
        <f>Tongmucthanhtoan2019_2021!L31</f>
        <v>10507</v>
      </c>
      <c r="J30" s="176">
        <f t="shared" si="5"/>
        <v>-9.7569354977239536E-2</v>
      </c>
      <c r="K30" s="9">
        <f t="shared" si="13"/>
        <v>10507</v>
      </c>
      <c r="L30" s="177">
        <f t="shared" si="6"/>
        <v>-9.7569354977239536E-2</v>
      </c>
      <c r="M30" s="44">
        <f>Tongmucthanhtoan2019_2021!O31</f>
        <v>0</v>
      </c>
      <c r="N30" s="176"/>
      <c r="O30" s="44">
        <f>Tongmucthanhtoan2019_2021!R31</f>
        <v>8787</v>
      </c>
      <c r="P30" s="176">
        <f t="shared" si="8"/>
        <v>-0.16370039021604643</v>
      </c>
      <c r="Q30" s="9">
        <f t="shared" si="2"/>
        <v>8787</v>
      </c>
      <c r="R30" s="177">
        <f t="shared" si="9"/>
        <v>-0.16370039021604643</v>
      </c>
      <c r="S30" s="44">
        <f>Tongmuc2022!L31</f>
        <v>0</v>
      </c>
      <c r="T30" s="176"/>
      <c r="U30" s="44">
        <f>Tongmuc2022!O31</f>
        <v>11400.8071060806</v>
      </c>
      <c r="V30" s="176">
        <f t="shared" si="11"/>
        <v>0.29746296871293954</v>
      </c>
      <c r="W30" s="9">
        <f t="shared" si="3"/>
        <v>11400.8071060806</v>
      </c>
      <c r="X30" s="177">
        <f t="shared" si="12"/>
        <v>0.29746296871293954</v>
      </c>
      <c r="Y30" s="190"/>
      <c r="Z30" s="190"/>
      <c r="AB30" s="45"/>
    </row>
    <row r="31" spans="1:28">
      <c r="A31" s="6">
        <v>23</v>
      </c>
      <c r="B31" s="7" t="s">
        <v>35</v>
      </c>
      <c r="C31" s="69" t="s">
        <v>96</v>
      </c>
      <c r="D31" s="8">
        <f>Tongmucthanhtoan2019_2021!E32</f>
        <v>0</v>
      </c>
      <c r="E31" s="8">
        <f>Tongmucthanhtoan2019_2021!G32</f>
        <v>141755</v>
      </c>
      <c r="F31" s="9">
        <f t="shared" si="0"/>
        <v>141755</v>
      </c>
      <c r="G31" s="44">
        <f>Tongmucthanhtoan2019_2021!J32</f>
        <v>0</v>
      </c>
      <c r="H31" s="176"/>
      <c r="I31" s="44">
        <f>Tongmucthanhtoan2019_2021!L32</f>
        <v>131662</v>
      </c>
      <c r="J31" s="176">
        <f t="shared" si="5"/>
        <v>-7.1200310394695071E-2</v>
      </c>
      <c r="K31" s="9">
        <f t="shared" si="13"/>
        <v>131662</v>
      </c>
      <c r="L31" s="177">
        <f t="shared" si="6"/>
        <v>-7.1200310394695071E-2</v>
      </c>
      <c r="M31" s="44">
        <f>Tongmucthanhtoan2019_2021!O32</f>
        <v>0</v>
      </c>
      <c r="N31" s="176"/>
      <c r="O31" s="44">
        <f>Tongmucthanhtoan2019_2021!R32</f>
        <v>111369</v>
      </c>
      <c r="P31" s="176">
        <f t="shared" si="8"/>
        <v>-0.15412951345110967</v>
      </c>
      <c r="Q31" s="9">
        <f t="shared" si="2"/>
        <v>111369</v>
      </c>
      <c r="R31" s="177">
        <f t="shared" si="9"/>
        <v>-0.15412951345110967</v>
      </c>
      <c r="S31" s="44">
        <f>Tongmuc2022!L32</f>
        <v>0</v>
      </c>
      <c r="T31" s="176"/>
      <c r="U31" s="44">
        <f>Tongmuc2022!O32</f>
        <v>139192.9016722322</v>
      </c>
      <c r="V31" s="176">
        <f t="shared" si="11"/>
        <v>0.24983524744077973</v>
      </c>
      <c r="W31" s="9">
        <f t="shared" si="3"/>
        <v>139192.9016722322</v>
      </c>
      <c r="X31" s="177">
        <f t="shared" si="12"/>
        <v>0.24983524744077973</v>
      </c>
      <c r="Y31" s="190"/>
      <c r="Z31" s="190"/>
      <c r="AB31" s="45"/>
    </row>
    <row r="32" spans="1:28">
      <c r="A32" s="6">
        <v>24</v>
      </c>
      <c r="B32" s="7" t="s">
        <v>36</v>
      </c>
      <c r="C32" s="69" t="s">
        <v>98</v>
      </c>
      <c r="D32" s="8">
        <f>Tongmucthanhtoan2019_2021!E33</f>
        <v>0</v>
      </c>
      <c r="E32" s="8">
        <f>Tongmucthanhtoan2019_2021!G33</f>
        <v>88991</v>
      </c>
      <c r="F32" s="9">
        <f t="shared" si="0"/>
        <v>88991</v>
      </c>
      <c r="G32" s="44">
        <f>Tongmucthanhtoan2019_2021!J33</f>
        <v>0</v>
      </c>
      <c r="H32" s="176"/>
      <c r="I32" s="44">
        <f>Tongmucthanhtoan2019_2021!L33</f>
        <v>83726</v>
      </c>
      <c r="J32" s="176">
        <f t="shared" si="5"/>
        <v>-5.9163286175006463E-2</v>
      </c>
      <c r="K32" s="9">
        <f t="shared" si="13"/>
        <v>83726</v>
      </c>
      <c r="L32" s="177">
        <f t="shared" si="6"/>
        <v>-5.9163286175006463E-2</v>
      </c>
      <c r="M32" s="44">
        <f>Tongmucthanhtoan2019_2021!O33</f>
        <v>0</v>
      </c>
      <c r="N32" s="176"/>
      <c r="O32" s="44">
        <f>Tongmucthanhtoan2019_2021!R33</f>
        <v>75276</v>
      </c>
      <c r="P32" s="176">
        <f t="shared" si="8"/>
        <v>-0.10092444401977881</v>
      </c>
      <c r="Q32" s="9">
        <f t="shared" si="2"/>
        <v>75276</v>
      </c>
      <c r="R32" s="177">
        <f t="shared" si="9"/>
        <v>-0.10092444401977881</v>
      </c>
      <c r="S32" s="44">
        <f>Tongmuc2022!L33</f>
        <v>0</v>
      </c>
      <c r="T32" s="176"/>
      <c r="U32" s="44">
        <f>Tongmuc2022!O33</f>
        <v>87855.102291168805</v>
      </c>
      <c r="V32" s="176">
        <f t="shared" si="11"/>
        <v>0.16710641228504178</v>
      </c>
      <c r="W32" s="9">
        <f t="shared" si="3"/>
        <v>87855.102291168805</v>
      </c>
      <c r="X32" s="177">
        <f t="shared" si="12"/>
        <v>0.16710641228504178</v>
      </c>
      <c r="Y32" s="190"/>
      <c r="Z32" s="190"/>
      <c r="AB32" s="45"/>
    </row>
    <row r="33" spans="1:28">
      <c r="A33" s="6">
        <v>25</v>
      </c>
      <c r="B33" s="7" t="s">
        <v>37</v>
      </c>
      <c r="C33" s="69" t="s">
        <v>100</v>
      </c>
      <c r="D33" s="8">
        <f>Tongmucthanhtoan2019_2021!E34</f>
        <v>0</v>
      </c>
      <c r="E33" s="8">
        <f>Tongmucthanhtoan2019_2021!G34</f>
        <v>192813</v>
      </c>
      <c r="F33" s="9">
        <f t="shared" si="0"/>
        <v>192813</v>
      </c>
      <c r="G33" s="44">
        <f>Tongmucthanhtoan2019_2021!J34</f>
        <v>0</v>
      </c>
      <c r="H33" s="176"/>
      <c r="I33" s="44">
        <f>Tongmucthanhtoan2019_2021!L34</f>
        <v>180672</v>
      </c>
      <c r="J33" s="176">
        <f t="shared" si="5"/>
        <v>-6.296774595073984E-2</v>
      </c>
      <c r="K33" s="9">
        <f t="shared" si="13"/>
        <v>180672</v>
      </c>
      <c r="L33" s="177">
        <f t="shared" si="6"/>
        <v>-6.296774595073984E-2</v>
      </c>
      <c r="M33" s="44">
        <f>Tongmucthanhtoan2019_2021!O34</f>
        <v>0</v>
      </c>
      <c r="N33" s="176"/>
      <c r="O33" s="44">
        <f>Tongmucthanhtoan2019_2021!R34</f>
        <v>155642</v>
      </c>
      <c r="P33" s="176">
        <f t="shared" si="8"/>
        <v>-0.13853834573149132</v>
      </c>
      <c r="Q33" s="9">
        <f t="shared" si="2"/>
        <v>155642</v>
      </c>
      <c r="R33" s="177">
        <f t="shared" si="9"/>
        <v>-0.13853834573149132</v>
      </c>
      <c r="S33" s="44">
        <f>Tongmuc2022!L34</f>
        <v>0</v>
      </c>
      <c r="T33" s="176"/>
      <c r="U33" s="44">
        <f>Tongmuc2022!O34</f>
        <v>190592.00924844708</v>
      </c>
      <c r="V33" s="176">
        <f t="shared" si="11"/>
        <v>0.22455384310434895</v>
      </c>
      <c r="W33" s="9">
        <f t="shared" si="3"/>
        <v>190592.00924844708</v>
      </c>
      <c r="X33" s="177">
        <f t="shared" si="12"/>
        <v>0.22455384310434895</v>
      </c>
      <c r="Y33" s="190"/>
      <c r="Z33" s="190"/>
      <c r="AB33" s="45"/>
    </row>
    <row r="34" spans="1:28">
      <c r="A34" s="6">
        <v>26</v>
      </c>
      <c r="B34" s="7" t="s">
        <v>38</v>
      </c>
      <c r="C34" s="69" t="s">
        <v>101</v>
      </c>
      <c r="D34" s="8">
        <f>Tongmucthanhtoan2019_2021!E35</f>
        <v>0</v>
      </c>
      <c r="E34" s="8">
        <f>Tongmucthanhtoan2019_2021!G35</f>
        <v>24534</v>
      </c>
      <c r="F34" s="9">
        <f t="shared" si="0"/>
        <v>24534</v>
      </c>
      <c r="G34" s="44">
        <f>Tongmucthanhtoan2019_2021!J35</f>
        <v>0</v>
      </c>
      <c r="H34" s="176"/>
      <c r="I34" s="44">
        <f>Tongmucthanhtoan2019_2021!L35</f>
        <v>22725</v>
      </c>
      <c r="J34" s="176">
        <f t="shared" si="5"/>
        <v>-7.3734409391049152E-2</v>
      </c>
      <c r="K34" s="9">
        <f t="shared" si="13"/>
        <v>22725</v>
      </c>
      <c r="L34" s="177">
        <f t="shared" si="6"/>
        <v>-7.3734409391049152E-2</v>
      </c>
      <c r="M34" s="44">
        <f>Tongmucthanhtoan2019_2021!O35</f>
        <v>0</v>
      </c>
      <c r="N34" s="176"/>
      <c r="O34" s="44">
        <f>Tongmucthanhtoan2019_2021!R35</f>
        <v>22136</v>
      </c>
      <c r="P34" s="176">
        <f t="shared" si="8"/>
        <v>-2.5918591859185918E-2</v>
      </c>
      <c r="Q34" s="9">
        <f t="shared" si="2"/>
        <v>22136</v>
      </c>
      <c r="R34" s="177">
        <f t="shared" si="9"/>
        <v>-2.5918591859185918E-2</v>
      </c>
      <c r="S34" s="44">
        <f>Tongmuc2022!L35</f>
        <v>0</v>
      </c>
      <c r="T34" s="176"/>
      <c r="U34" s="44">
        <f>Tongmuc2022!O35</f>
        <v>24342.760716436802</v>
      </c>
      <c r="V34" s="176">
        <f t="shared" si="11"/>
        <v>9.9691033449439914E-2</v>
      </c>
      <c r="W34" s="9">
        <f t="shared" si="3"/>
        <v>24342.760716436802</v>
      </c>
      <c r="X34" s="177">
        <f t="shared" si="12"/>
        <v>9.9691033449439914E-2</v>
      </c>
      <c r="Y34" s="190"/>
      <c r="Z34" s="190"/>
      <c r="AB34" s="45"/>
    </row>
    <row r="35" spans="1:28">
      <c r="A35" s="6">
        <v>27</v>
      </c>
      <c r="B35" s="7" t="s">
        <v>39</v>
      </c>
      <c r="C35" s="69" t="s">
        <v>102</v>
      </c>
      <c r="D35" s="8">
        <f>Tongmucthanhtoan2019_2021!E36</f>
        <v>0</v>
      </c>
      <c r="E35" s="8">
        <f>Tongmucthanhtoan2019_2021!G36</f>
        <v>6415</v>
      </c>
      <c r="F35" s="9">
        <f t="shared" si="0"/>
        <v>6415</v>
      </c>
      <c r="G35" s="44">
        <f>Tongmucthanhtoan2019_2021!J36</f>
        <v>0</v>
      </c>
      <c r="H35" s="176"/>
      <c r="I35" s="44">
        <f>Tongmucthanhtoan2019_2021!L36</f>
        <v>13944</v>
      </c>
      <c r="J35" s="176">
        <f t="shared" si="5"/>
        <v>1.173655494933749</v>
      </c>
      <c r="K35" s="9">
        <f t="shared" si="13"/>
        <v>13944</v>
      </c>
      <c r="L35" s="177">
        <f t="shared" si="6"/>
        <v>1.173655494933749</v>
      </c>
      <c r="M35" s="44">
        <f>Tongmucthanhtoan2019_2021!O36</f>
        <v>0</v>
      </c>
      <c r="N35" s="176"/>
      <c r="O35" s="44">
        <f>Tongmucthanhtoan2019_2021!R36</f>
        <v>14557</v>
      </c>
      <c r="P35" s="176">
        <f t="shared" si="8"/>
        <v>4.3961560527825586E-2</v>
      </c>
      <c r="Q35" s="9">
        <f t="shared" si="2"/>
        <v>14557</v>
      </c>
      <c r="R35" s="177">
        <f t="shared" si="9"/>
        <v>4.3961560527825586E-2</v>
      </c>
      <c r="S35" s="44">
        <f>Tongmuc2022!L36</f>
        <v>0</v>
      </c>
      <c r="T35" s="176"/>
      <c r="U35" s="44">
        <f>Tongmuc2022!O36</f>
        <v>17174.432788358681</v>
      </c>
      <c r="V35" s="176">
        <f t="shared" si="11"/>
        <v>0.17980578335911804</v>
      </c>
      <c r="W35" s="9">
        <f t="shared" si="3"/>
        <v>17174.432788358681</v>
      </c>
      <c r="X35" s="177">
        <f t="shared" si="12"/>
        <v>0.17980578335911804</v>
      </c>
      <c r="Y35" s="190"/>
      <c r="Z35" s="190"/>
      <c r="AB35" s="45"/>
    </row>
    <row r="36" spans="1:28">
      <c r="A36" s="6">
        <v>28</v>
      </c>
      <c r="B36" s="7" t="s">
        <v>40</v>
      </c>
      <c r="C36" s="69" t="s">
        <v>104</v>
      </c>
      <c r="D36" s="8">
        <f>Tongmucthanhtoan2019_2021!E37</f>
        <v>0</v>
      </c>
      <c r="E36" s="8">
        <f>Tongmucthanhtoan2019_2021!G37</f>
        <v>11501</v>
      </c>
      <c r="F36" s="9">
        <f t="shared" si="0"/>
        <v>11501</v>
      </c>
      <c r="G36" s="44">
        <f>Tongmucthanhtoan2019_2021!J37</f>
        <v>0</v>
      </c>
      <c r="H36" s="176"/>
      <c r="I36" s="44">
        <f>Tongmucthanhtoan2019_2021!L37</f>
        <v>11791</v>
      </c>
      <c r="J36" s="176">
        <f t="shared" si="5"/>
        <v>2.5215198678375794E-2</v>
      </c>
      <c r="K36" s="9">
        <f t="shared" si="13"/>
        <v>11791</v>
      </c>
      <c r="L36" s="177">
        <f t="shared" si="6"/>
        <v>2.5215198678375794E-2</v>
      </c>
      <c r="M36" s="44">
        <f>Tongmucthanhtoan2019_2021!O37</f>
        <v>0</v>
      </c>
      <c r="N36" s="176"/>
      <c r="O36" s="44">
        <f>Tongmucthanhtoan2019_2021!R37</f>
        <v>8682</v>
      </c>
      <c r="P36" s="176">
        <f t="shared" si="8"/>
        <v>-0.26367568484437282</v>
      </c>
      <c r="Q36" s="9">
        <f t="shared" si="2"/>
        <v>8682</v>
      </c>
      <c r="R36" s="177">
        <f t="shared" si="9"/>
        <v>-0.26367568484437282</v>
      </c>
      <c r="S36" s="44">
        <f>Tongmuc2022!L37</f>
        <v>0</v>
      </c>
      <c r="T36" s="176"/>
      <c r="U36" s="44">
        <f>Tongmuc2022!O37</f>
        <v>11261.9520133316</v>
      </c>
      <c r="V36" s="176">
        <f t="shared" si="11"/>
        <v>0.29716102434134994</v>
      </c>
      <c r="W36" s="9">
        <f t="shared" si="3"/>
        <v>11261.9520133316</v>
      </c>
      <c r="X36" s="177">
        <f t="shared" si="12"/>
        <v>0.29716102434134994</v>
      </c>
      <c r="Y36" s="190"/>
      <c r="Z36" s="190"/>
      <c r="AB36" s="45"/>
    </row>
    <row r="37" spans="1:28">
      <c r="A37" s="6">
        <v>29</v>
      </c>
      <c r="B37" s="7" t="s">
        <v>41</v>
      </c>
      <c r="C37" s="69" t="s">
        <v>105</v>
      </c>
      <c r="D37" s="8">
        <f>Tongmucthanhtoan2019_2021!E38</f>
        <v>0</v>
      </c>
      <c r="E37" s="8">
        <f>Tongmucthanhtoan2019_2021!G38</f>
        <v>69139</v>
      </c>
      <c r="F37" s="9">
        <f t="shared" si="0"/>
        <v>69139</v>
      </c>
      <c r="G37" s="44">
        <f>Tongmucthanhtoan2019_2021!J38</f>
        <v>0</v>
      </c>
      <c r="H37" s="176"/>
      <c r="I37" s="44">
        <f>Tongmucthanhtoan2019_2021!L38</f>
        <v>67026</v>
      </c>
      <c r="J37" s="176">
        <f t="shared" si="5"/>
        <v>-3.0561622239257149E-2</v>
      </c>
      <c r="K37" s="9">
        <f t="shared" si="13"/>
        <v>67026</v>
      </c>
      <c r="L37" s="177">
        <f t="shared" si="6"/>
        <v>-3.0561622239257149E-2</v>
      </c>
      <c r="M37" s="44">
        <f>Tongmucthanhtoan2019_2021!O38</f>
        <v>0</v>
      </c>
      <c r="N37" s="176"/>
      <c r="O37" s="44">
        <f>Tongmucthanhtoan2019_2021!R38</f>
        <v>65575</v>
      </c>
      <c r="P37" s="176">
        <f t="shared" si="8"/>
        <v>-2.1648315579029034E-2</v>
      </c>
      <c r="Q37" s="9">
        <f t="shared" si="2"/>
        <v>65575</v>
      </c>
      <c r="R37" s="177">
        <f t="shared" si="9"/>
        <v>-2.1648315579029034E-2</v>
      </c>
      <c r="S37" s="44">
        <f>Tongmuc2022!L38</f>
        <v>0</v>
      </c>
      <c r="T37" s="176"/>
      <c r="U37" s="44">
        <f>Tongmuc2022!O38</f>
        <v>70658.180903736997</v>
      </c>
      <c r="V37" s="176">
        <f t="shared" si="11"/>
        <v>7.7517055337201629E-2</v>
      </c>
      <c r="W37" s="9">
        <f t="shared" si="3"/>
        <v>70658.180903736997</v>
      </c>
      <c r="X37" s="177">
        <f t="shared" si="12"/>
        <v>7.7517055337201629E-2</v>
      </c>
      <c r="Y37" s="190"/>
      <c r="Z37" s="190"/>
      <c r="AB37" s="45"/>
    </row>
    <row r="38" spans="1:28">
      <c r="A38" s="6">
        <v>30</v>
      </c>
      <c r="B38" s="7" t="s">
        <v>68</v>
      </c>
      <c r="C38" s="69" t="s">
        <v>116</v>
      </c>
      <c r="D38" s="8">
        <f>Tongmucthanhtoan2019_2021!E39</f>
        <v>14804</v>
      </c>
      <c r="E38" s="8">
        <f>Tongmucthanhtoan2019_2021!G39</f>
        <v>122890</v>
      </c>
      <c r="F38" s="9">
        <f t="shared" si="0"/>
        <v>137694</v>
      </c>
      <c r="G38" s="44">
        <f>Tongmucthanhtoan2019_2021!J39</f>
        <v>14689</v>
      </c>
      <c r="H38" s="176">
        <f t="shared" si="4"/>
        <v>-7.7681707646582001E-3</v>
      </c>
      <c r="I38" s="44">
        <f>Tongmucthanhtoan2019_2021!L39</f>
        <v>83833</v>
      </c>
      <c r="J38" s="176">
        <f t="shared" si="5"/>
        <v>-0.31782081536333306</v>
      </c>
      <c r="K38" s="9">
        <f t="shared" si="13"/>
        <v>98522</v>
      </c>
      <c r="L38" s="177">
        <f t="shared" si="6"/>
        <v>-0.28448588900024691</v>
      </c>
      <c r="M38" s="44">
        <f>Tongmucthanhtoan2019_2021!O39</f>
        <v>13040</v>
      </c>
      <c r="N38" s="176">
        <f t="shared" si="7"/>
        <v>-0.11226087548505685</v>
      </c>
      <c r="O38" s="44">
        <f>Tongmucthanhtoan2019_2021!R39</f>
        <v>64840</v>
      </c>
      <c r="P38" s="176">
        <f t="shared" si="8"/>
        <v>-0.22655756086505313</v>
      </c>
      <c r="Q38" s="9">
        <f t="shared" si="2"/>
        <v>77880</v>
      </c>
      <c r="R38" s="177">
        <f t="shared" si="9"/>
        <v>-0.2095166561783155</v>
      </c>
      <c r="S38" s="44">
        <f>Tongmuc2022!L39</f>
        <v>14781.189153147201</v>
      </c>
      <c r="T38" s="176">
        <f t="shared" si="10"/>
        <v>0.13352677554809825</v>
      </c>
      <c r="U38" s="44">
        <f>Tongmuc2022!O39</f>
        <v>117873.89310719201</v>
      </c>
      <c r="V38" s="176">
        <f t="shared" si="11"/>
        <v>0.81791938783454676</v>
      </c>
      <c r="W38" s="9">
        <f t="shared" si="3"/>
        <v>132655.0822603392</v>
      </c>
      <c r="X38" s="177">
        <f t="shared" si="12"/>
        <v>0.70332668541781207</v>
      </c>
      <c r="Y38" s="190"/>
      <c r="Z38" s="190"/>
      <c r="AB38" s="45"/>
    </row>
    <row r="39" spans="1:28">
      <c r="A39" s="10">
        <v>31</v>
      </c>
      <c r="B39" s="11" t="s">
        <v>42</v>
      </c>
      <c r="C39" s="70" t="s">
        <v>106</v>
      </c>
      <c r="D39" s="8">
        <f>Tongmucthanhtoan2019_2021!E40</f>
        <v>0</v>
      </c>
      <c r="E39" s="8">
        <f>Tongmucthanhtoan2019_2021!G40</f>
        <v>6920</v>
      </c>
      <c r="F39" s="9">
        <f t="shared" si="0"/>
        <v>6920</v>
      </c>
      <c r="G39" s="44">
        <f>Tongmucthanhtoan2019_2021!J40</f>
        <v>0</v>
      </c>
      <c r="H39" s="176"/>
      <c r="I39" s="44">
        <f>Tongmucthanhtoan2019_2021!L40</f>
        <v>10407</v>
      </c>
      <c r="J39" s="176">
        <f t="shared" si="5"/>
        <v>0.50390173410404626</v>
      </c>
      <c r="K39" s="9">
        <f t="shared" si="13"/>
        <v>10407</v>
      </c>
      <c r="L39" s="177">
        <f t="shared" si="6"/>
        <v>0.50390173410404626</v>
      </c>
      <c r="M39" s="44">
        <f>Tongmucthanhtoan2019_2021!O40</f>
        <v>0</v>
      </c>
      <c r="N39" s="176"/>
      <c r="O39" s="44">
        <f>Tongmucthanhtoan2019_2021!R40</f>
        <v>10086</v>
      </c>
      <c r="P39" s="176">
        <f t="shared" si="8"/>
        <v>-3.0844623810896511E-2</v>
      </c>
      <c r="Q39" s="9">
        <f t="shared" si="2"/>
        <v>10086</v>
      </c>
      <c r="R39" s="177">
        <f t="shared" si="9"/>
        <v>-3.0844623810896511E-2</v>
      </c>
      <c r="S39" s="44">
        <f>Tongmuc2022!L40</f>
        <v>0</v>
      </c>
      <c r="T39" s="176"/>
      <c r="U39" s="44">
        <f>Tongmuc2022!O40</f>
        <v>10891.098400000001</v>
      </c>
      <c r="V39" s="176">
        <f t="shared" si="11"/>
        <v>7.9823359111639972E-2</v>
      </c>
      <c r="W39" s="9">
        <f t="shared" si="3"/>
        <v>10891.098400000001</v>
      </c>
      <c r="X39" s="177">
        <f t="shared" si="12"/>
        <v>7.9823359111639972E-2</v>
      </c>
      <c r="Y39" s="190"/>
      <c r="Z39" s="190"/>
      <c r="AB39" s="45"/>
    </row>
    <row r="40" spans="1:28" s="15" customFormat="1">
      <c r="A40" s="12">
        <v>32</v>
      </c>
      <c r="B40" s="13" t="s">
        <v>43</v>
      </c>
      <c r="C40" s="71" t="s">
        <v>107</v>
      </c>
      <c r="D40" s="8">
        <f>Tongmucthanhtoan2019_2021!E41</f>
        <v>0</v>
      </c>
      <c r="E40" s="8">
        <f>Tongmucthanhtoan2019_2021!G41</f>
        <v>357</v>
      </c>
      <c r="F40" s="9">
        <f t="shared" si="0"/>
        <v>357</v>
      </c>
      <c r="G40" s="44">
        <f>Tongmucthanhtoan2019_2021!J41</f>
        <v>0</v>
      </c>
      <c r="H40" s="176"/>
      <c r="I40" s="44">
        <f>Tongmucthanhtoan2019_2021!L41</f>
        <v>1843</v>
      </c>
      <c r="J40" s="176">
        <f t="shared" si="5"/>
        <v>4.1624649859943981</v>
      </c>
      <c r="K40" s="9">
        <f t="shared" si="13"/>
        <v>1843</v>
      </c>
      <c r="L40" s="177">
        <f t="shared" si="6"/>
        <v>4.1624649859943981</v>
      </c>
      <c r="M40" s="44">
        <f>Tongmucthanhtoan2019_2021!O41</f>
        <v>0</v>
      </c>
      <c r="N40" s="176"/>
      <c r="O40" s="44">
        <f>Tongmucthanhtoan2019_2021!R41</f>
        <v>1624</v>
      </c>
      <c r="P40" s="176">
        <f t="shared" si="8"/>
        <v>-0.11882799782962561</v>
      </c>
      <c r="Q40" s="9">
        <f t="shared" si="2"/>
        <v>1624</v>
      </c>
      <c r="R40" s="177">
        <f t="shared" si="9"/>
        <v>-0.11882799782962561</v>
      </c>
      <c r="S40" s="44">
        <f>Tongmuc2022!L41</f>
        <v>0</v>
      </c>
      <c r="T40" s="176"/>
      <c r="U40" s="44">
        <f>Tongmuc2022!O41</f>
        <v>1734.1156000000001</v>
      </c>
      <c r="V40" s="176">
        <f t="shared" si="11"/>
        <v>6.7805172413793149E-2</v>
      </c>
      <c r="W40" s="9">
        <f t="shared" si="3"/>
        <v>1734.1156000000001</v>
      </c>
      <c r="X40" s="177">
        <f t="shared" si="12"/>
        <v>6.7805172413793149E-2</v>
      </c>
      <c r="Y40" s="190"/>
      <c r="Z40" s="190"/>
      <c r="AA40" s="1"/>
      <c r="AB40" s="45"/>
    </row>
    <row r="41" spans="1:28">
      <c r="A41" s="6">
        <v>33</v>
      </c>
      <c r="B41" s="7" t="s">
        <v>44</v>
      </c>
      <c r="C41" s="69" t="s">
        <v>117</v>
      </c>
      <c r="D41" s="8">
        <f>Tongmucthanhtoan2019_2021!E42</f>
        <v>0</v>
      </c>
      <c r="E41" s="8">
        <f>Tongmucthanhtoan2019_2021!G42</f>
        <v>0</v>
      </c>
      <c r="F41" s="9">
        <f t="shared" si="0"/>
        <v>0</v>
      </c>
      <c r="G41" s="44">
        <f>Tongmucthanhtoan2019_2021!J42</f>
        <v>0</v>
      </c>
      <c r="H41" s="176"/>
      <c r="I41" s="44">
        <f>Tongmucthanhtoan2019_2021!L42</f>
        <v>9463</v>
      </c>
      <c r="J41" s="176"/>
      <c r="K41" s="9">
        <f t="shared" si="13"/>
        <v>9463</v>
      </c>
      <c r="L41" s="177"/>
      <c r="M41" s="44">
        <f>Tongmucthanhtoan2019_2021!O42</f>
        <v>0</v>
      </c>
      <c r="N41" s="176"/>
      <c r="O41" s="44">
        <f>Tongmucthanhtoan2019_2021!R42</f>
        <v>14531</v>
      </c>
      <c r="P41" s="176">
        <f t="shared" si="8"/>
        <v>0.53555954771214198</v>
      </c>
      <c r="Q41" s="9">
        <f t="shared" si="2"/>
        <v>14531</v>
      </c>
      <c r="R41" s="177">
        <f t="shared" si="9"/>
        <v>0.53555954771214198</v>
      </c>
      <c r="S41" s="44">
        <f>Tongmuc2022!L42</f>
        <v>0</v>
      </c>
      <c r="T41" s="176"/>
      <c r="U41" s="44">
        <f>Tongmuc2022!O42</f>
        <v>17417.053400000001</v>
      </c>
      <c r="V41" s="176">
        <f t="shared" si="11"/>
        <v>0.19861354345881224</v>
      </c>
      <c r="W41" s="9">
        <f t="shared" si="3"/>
        <v>17417.053400000001</v>
      </c>
      <c r="X41" s="177">
        <f t="shared" si="12"/>
        <v>0.19861354345881224</v>
      </c>
      <c r="Y41" s="190"/>
      <c r="Z41" s="190"/>
      <c r="AB41" s="45"/>
    </row>
    <row r="42" spans="1:28">
      <c r="A42" s="6">
        <v>34</v>
      </c>
      <c r="B42" s="7" t="s">
        <v>45</v>
      </c>
      <c r="C42" s="69" t="s">
        <v>118</v>
      </c>
      <c r="D42" s="8">
        <f>Tongmucthanhtoan2019_2021!E43</f>
        <v>0</v>
      </c>
      <c r="E42" s="8">
        <f>Tongmucthanhtoan2019_2021!G43</f>
        <v>0</v>
      </c>
      <c r="F42" s="9">
        <f t="shared" si="0"/>
        <v>0</v>
      </c>
      <c r="G42" s="44">
        <f>Tongmucthanhtoan2019_2021!J43</f>
        <v>0</v>
      </c>
      <c r="H42" s="176"/>
      <c r="I42" s="44">
        <f>Tongmucthanhtoan2019_2021!L43</f>
        <v>12670</v>
      </c>
      <c r="J42" s="176"/>
      <c r="K42" s="9">
        <f t="shared" si="13"/>
        <v>12670</v>
      </c>
      <c r="L42" s="177"/>
      <c r="M42" s="44">
        <f>Tongmucthanhtoan2019_2021!O43</f>
        <v>0</v>
      </c>
      <c r="N42" s="176"/>
      <c r="O42" s="44">
        <f>Tongmucthanhtoan2019_2021!R43</f>
        <v>20399</v>
      </c>
      <c r="P42" s="176">
        <f t="shared" si="8"/>
        <v>0.6100236779794791</v>
      </c>
      <c r="Q42" s="9">
        <f t="shared" si="2"/>
        <v>20399</v>
      </c>
      <c r="R42" s="177">
        <f t="shared" si="9"/>
        <v>0.6100236779794791</v>
      </c>
      <c r="S42" s="44">
        <f>Tongmuc2022!L43</f>
        <v>0</v>
      </c>
      <c r="T42" s="176"/>
      <c r="U42" s="44">
        <f>Tongmuc2022!O43</f>
        <v>22807.988600000001</v>
      </c>
      <c r="V42" s="176">
        <f t="shared" si="11"/>
        <v>0.11809346536594933</v>
      </c>
      <c r="W42" s="9">
        <f t="shared" si="3"/>
        <v>22807.988600000001</v>
      </c>
      <c r="X42" s="177">
        <f t="shared" si="12"/>
        <v>0.11809346536594933</v>
      </c>
      <c r="Y42" s="190"/>
      <c r="Z42" s="190"/>
      <c r="AB42" s="45"/>
    </row>
    <row r="43" spans="1:28">
      <c r="A43" s="207" t="s">
        <v>10</v>
      </c>
      <c r="B43" s="208"/>
      <c r="C43" s="162"/>
      <c r="D43" s="16">
        <f>SUM(D9:D42)</f>
        <v>302561</v>
      </c>
      <c r="E43" s="16">
        <f t="shared" ref="E43:K43" si="14">SUM(E9:E42)</f>
        <v>2560536</v>
      </c>
      <c r="F43" s="16">
        <f t="shared" si="14"/>
        <v>2863097</v>
      </c>
      <c r="G43" s="16">
        <f t="shared" si="14"/>
        <v>261320</v>
      </c>
      <c r="H43" s="177">
        <f t="shared" si="4"/>
        <v>-0.13630639771814609</v>
      </c>
      <c r="I43" s="16">
        <f t="shared" si="14"/>
        <v>2364824</v>
      </c>
      <c r="J43" s="177">
        <f t="shared" si="5"/>
        <v>-7.6433996631955187E-2</v>
      </c>
      <c r="K43" s="16">
        <f t="shared" si="14"/>
        <v>2626144</v>
      </c>
      <c r="L43" s="177">
        <f t="shared" si="6"/>
        <v>-8.2761080047235563E-2</v>
      </c>
      <c r="M43" s="16">
        <f t="shared" ref="M43:Q43" si="15">SUM(M9:M42)</f>
        <v>228485</v>
      </c>
      <c r="N43" s="177">
        <f t="shared" si="7"/>
        <v>-0.12565054339507117</v>
      </c>
      <c r="O43" s="16">
        <f t="shared" si="15"/>
        <v>2070731</v>
      </c>
      <c r="P43" s="177">
        <f>(O43-I43)/I43</f>
        <v>-0.1243614746805682</v>
      </c>
      <c r="Q43" s="16">
        <f t="shared" si="15"/>
        <v>2299216</v>
      </c>
      <c r="R43" s="177">
        <f>(Q43-K43)/K43</f>
        <v>-0.12448974618299682</v>
      </c>
      <c r="S43" s="16">
        <f t="shared" ref="S43:W43" si="16">SUM(S9:S42)</f>
        <v>300039.09719621076</v>
      </c>
      <c r="T43" s="178">
        <f t="shared" si="10"/>
        <v>0.31316759172904463</v>
      </c>
      <c r="U43" s="16">
        <f t="shared" si="16"/>
        <v>2584344.8497269456</v>
      </c>
      <c r="V43" s="177">
        <f t="shared" si="11"/>
        <v>0.24803504159977594</v>
      </c>
      <c r="W43" s="16">
        <f t="shared" si="16"/>
        <v>2884383.9469231567</v>
      </c>
      <c r="X43" s="177">
        <f t="shared" si="12"/>
        <v>0.25450760038341624</v>
      </c>
      <c r="Y43" s="181"/>
      <c r="Z43" s="181"/>
    </row>
    <row r="44" spans="1:28" ht="18">
      <c r="A44" s="209"/>
      <c r="B44" s="209"/>
      <c r="C44" s="209"/>
      <c r="D44" s="209"/>
      <c r="E44" s="209"/>
      <c r="F44" s="209"/>
      <c r="L44" s="49"/>
    </row>
    <row r="45" spans="1:28">
      <c r="A45" s="206"/>
      <c r="B45" s="206"/>
      <c r="C45" s="206"/>
      <c r="D45" s="206"/>
      <c r="E45" s="206"/>
      <c r="F45" s="206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</row>
    <row r="46" spans="1:28">
      <c r="M46" s="45"/>
      <c r="N46" s="45"/>
      <c r="O46" s="45"/>
      <c r="P46" s="45"/>
      <c r="Q46" s="45"/>
      <c r="R46" s="45"/>
    </row>
    <row r="47" spans="1:28" ht="18">
      <c r="G47" s="49"/>
    </row>
  </sheetData>
  <mergeCells count="27">
    <mergeCell ref="A44:F44"/>
    <mergeCell ref="A45:F45"/>
    <mergeCell ref="A1:D1"/>
    <mergeCell ref="A2:D2"/>
    <mergeCell ref="V1:X1"/>
    <mergeCell ref="I6:J6"/>
    <mergeCell ref="K6:L6"/>
    <mergeCell ref="M6:N6"/>
    <mergeCell ref="A3:X3"/>
    <mergeCell ref="V4:X4"/>
    <mergeCell ref="A5:A7"/>
    <mergeCell ref="B5:B7"/>
    <mergeCell ref="C5:C7"/>
    <mergeCell ref="D5:F5"/>
    <mergeCell ref="G5:L5"/>
    <mergeCell ref="M5:R5"/>
    <mergeCell ref="S5:X5"/>
    <mergeCell ref="A43:B43"/>
    <mergeCell ref="D6:D7"/>
    <mergeCell ref="E6:E7"/>
    <mergeCell ref="F6:F7"/>
    <mergeCell ref="G6:H6"/>
    <mergeCell ref="O6:P6"/>
    <mergeCell ref="Q6:R6"/>
    <mergeCell ref="S6:T6"/>
    <mergeCell ref="U6:V6"/>
    <mergeCell ref="W6:X6"/>
  </mergeCells>
  <pageMargins left="0.2" right="0.2" top="0.25" bottom="0.28000000000000003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1A8A9-230E-4AB6-9565-584895454492}">
  <dimension ref="A1:P45"/>
  <sheetViews>
    <sheetView zoomScaleNormal="100" workbookViewId="0">
      <selection activeCell="J1" sqref="J1:L1"/>
    </sheetView>
  </sheetViews>
  <sheetFormatPr defaultColWidth="9.1796875" defaultRowHeight="14"/>
  <cols>
    <col min="1" max="1" width="5" style="1" customWidth="1"/>
    <col min="2" max="2" width="29.6328125" style="1" customWidth="1"/>
    <col min="3" max="3" width="6.7265625" style="1" bestFit="1" customWidth="1"/>
    <col min="4" max="4" width="7.1796875" style="1" bestFit="1" customWidth="1"/>
    <col min="5" max="5" width="9" style="1" customWidth="1"/>
    <col min="6" max="6" width="8.54296875" style="2" bestFit="1" customWidth="1"/>
    <col min="7" max="7" width="7" style="1" customWidth="1"/>
    <col min="8" max="8" width="10.1796875" style="1" customWidth="1"/>
    <col min="9" max="9" width="9.1796875" style="1"/>
    <col min="10" max="10" width="9.90625" style="1" customWidth="1"/>
    <col min="11" max="11" width="9.1796875" style="1"/>
    <col min="12" max="12" width="8.7265625" style="1" customWidth="1"/>
    <col min="13" max="16384" width="9.1796875" style="1"/>
  </cols>
  <sheetData>
    <row r="1" spans="1:16">
      <c r="A1" s="222" t="s">
        <v>3</v>
      </c>
      <c r="B1" s="222"/>
      <c r="C1" s="222"/>
      <c r="D1" s="222"/>
      <c r="J1" s="225" t="s">
        <v>252</v>
      </c>
      <c r="K1" s="225"/>
      <c r="L1" s="225"/>
    </row>
    <row r="2" spans="1:16">
      <c r="A2" s="223" t="s">
        <v>109</v>
      </c>
      <c r="B2" s="223"/>
      <c r="C2" s="223"/>
      <c r="D2" s="223"/>
    </row>
    <row r="3" spans="1:16">
      <c r="A3" s="224" t="s">
        <v>244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</row>
    <row r="4" spans="1:16" ht="15" customHeight="1">
      <c r="J4" s="226" t="s">
        <v>211</v>
      </c>
      <c r="K4" s="226"/>
      <c r="L4" s="226"/>
    </row>
    <row r="5" spans="1:16" ht="30" customHeight="1">
      <c r="A5" s="212" t="s">
        <v>5</v>
      </c>
      <c r="B5" s="215" t="s">
        <v>6</v>
      </c>
      <c r="C5" s="215" t="s">
        <v>7</v>
      </c>
      <c r="D5" s="218" t="s">
        <v>67</v>
      </c>
      <c r="E5" s="219"/>
      <c r="F5" s="219"/>
      <c r="G5" s="218" t="s">
        <v>210</v>
      </c>
      <c r="H5" s="219"/>
      <c r="I5" s="219"/>
      <c r="J5" s="219"/>
      <c r="K5" s="219"/>
      <c r="L5" s="220"/>
    </row>
    <row r="6" spans="1:16" ht="30" customHeight="1">
      <c r="A6" s="213"/>
      <c r="B6" s="216"/>
      <c r="C6" s="216"/>
      <c r="D6" s="215" t="s">
        <v>8</v>
      </c>
      <c r="E6" s="215" t="s">
        <v>9</v>
      </c>
      <c r="F6" s="215" t="s">
        <v>246</v>
      </c>
      <c r="G6" s="210" t="s">
        <v>8</v>
      </c>
      <c r="H6" s="221"/>
      <c r="I6" s="210" t="s">
        <v>9</v>
      </c>
      <c r="J6" s="221"/>
      <c r="K6" s="210" t="s">
        <v>246</v>
      </c>
      <c r="L6" s="221"/>
    </row>
    <row r="7" spans="1:16" ht="61" customHeight="1">
      <c r="A7" s="214"/>
      <c r="B7" s="214"/>
      <c r="C7" s="217"/>
      <c r="D7" s="217"/>
      <c r="E7" s="217"/>
      <c r="F7" s="217"/>
      <c r="G7" s="189" t="s">
        <v>194</v>
      </c>
      <c r="H7" s="189" t="s">
        <v>218</v>
      </c>
      <c r="I7" s="189" t="s">
        <v>194</v>
      </c>
      <c r="J7" s="189" t="s">
        <v>218</v>
      </c>
      <c r="K7" s="5" t="s">
        <v>11</v>
      </c>
      <c r="L7" s="5" t="s">
        <v>218</v>
      </c>
    </row>
    <row r="8" spans="1:16" ht="29.5" customHeight="1">
      <c r="A8" s="187" t="s">
        <v>2</v>
      </c>
      <c r="B8" s="187" t="s">
        <v>1</v>
      </c>
      <c r="C8" s="188" t="s">
        <v>112</v>
      </c>
      <c r="D8" s="189">
        <v>1</v>
      </c>
      <c r="E8" s="189">
        <v>2</v>
      </c>
      <c r="F8" s="5" t="s">
        <v>212</v>
      </c>
      <c r="G8" s="189">
        <v>4</v>
      </c>
      <c r="H8" s="189" t="s">
        <v>219</v>
      </c>
      <c r="I8" s="189">
        <v>6</v>
      </c>
      <c r="J8" s="189" t="s">
        <v>220</v>
      </c>
      <c r="K8" s="5">
        <v>8</v>
      </c>
      <c r="L8" s="5" t="s">
        <v>245</v>
      </c>
    </row>
    <row r="9" spans="1:16" ht="19" customHeight="1">
      <c r="A9" s="6">
        <v>1</v>
      </c>
      <c r="B9" s="7" t="s">
        <v>13</v>
      </c>
      <c r="C9" s="69" t="s">
        <v>70</v>
      </c>
      <c r="D9" s="8">
        <f>Tongmucthanhtoan2019_2021!E10</f>
        <v>81190</v>
      </c>
      <c r="E9" s="8">
        <f>Tongmucthanhtoan2019_2021!G10</f>
        <v>197986</v>
      </c>
      <c r="F9" s="9">
        <f t="shared" ref="F9:F42" si="0">+D9+E9</f>
        <v>279176</v>
      </c>
      <c r="G9" s="44">
        <f>Tongmuc2022!L10</f>
        <v>80394.940341190115</v>
      </c>
      <c r="H9" s="191">
        <f>(G9-D9)/D9</f>
        <v>-9.7925810913891513E-3</v>
      </c>
      <c r="I9" s="44">
        <f>Tongmuc2022!O10</f>
        <v>194526.61353359857</v>
      </c>
      <c r="J9" s="176">
        <f>(I9-E9)/E9</f>
        <v>-1.7472884276673227E-2</v>
      </c>
      <c r="K9" s="9">
        <f t="shared" ref="K9:K42" si="1">+G9+I9</f>
        <v>274921.55387478869</v>
      </c>
      <c r="L9" s="177">
        <f>(K9-F9)/F9</f>
        <v>-1.5239297522750203E-2</v>
      </c>
      <c r="M9" s="190"/>
      <c r="N9" s="190"/>
      <c r="P9" s="45"/>
    </row>
    <row r="10" spans="1:16" ht="19" customHeight="1">
      <c r="A10" s="6">
        <v>2</v>
      </c>
      <c r="B10" s="7" t="s">
        <v>14</v>
      </c>
      <c r="C10" s="69" t="s">
        <v>71</v>
      </c>
      <c r="D10" s="8">
        <f>Tongmucthanhtoan2019_2021!E11</f>
        <v>21991</v>
      </c>
      <c r="E10" s="8">
        <f>Tongmucthanhtoan2019_2021!G11</f>
        <v>172977</v>
      </c>
      <c r="F10" s="9">
        <f t="shared" si="0"/>
        <v>194968</v>
      </c>
      <c r="G10" s="44">
        <f>Tongmuc2022!L11</f>
        <v>21387.961916941</v>
      </c>
      <c r="H10" s="191">
        <f t="shared" ref="H10:H43" si="2">(G10-D10)/D10</f>
        <v>-2.7422040064526407E-2</v>
      </c>
      <c r="I10" s="44">
        <f>Tongmuc2022!O11</f>
        <v>170573.98687494901</v>
      </c>
      <c r="J10" s="176">
        <f t="shared" ref="J10:J43" si="3">(I10-E10)/E10</f>
        <v>-1.3892096203836276E-2</v>
      </c>
      <c r="K10" s="9">
        <f t="shared" si="1"/>
        <v>191961.94879189</v>
      </c>
      <c r="L10" s="177">
        <f t="shared" ref="L10:L43" si="4">(K10-F10)/F10</f>
        <v>-1.5418177383519359E-2</v>
      </c>
      <c r="M10" s="190"/>
      <c r="N10" s="190"/>
      <c r="P10" s="45"/>
    </row>
    <row r="11" spans="1:16" ht="19" customHeight="1">
      <c r="A11" s="6">
        <v>3</v>
      </c>
      <c r="B11" s="7" t="s">
        <v>15</v>
      </c>
      <c r="C11" s="69" t="s">
        <v>72</v>
      </c>
      <c r="D11" s="8">
        <f>Tongmucthanhtoan2019_2021!E12</f>
        <v>12491</v>
      </c>
      <c r="E11" s="8">
        <f>Tongmucthanhtoan2019_2021!G12</f>
        <v>162617</v>
      </c>
      <c r="F11" s="9">
        <f t="shared" si="0"/>
        <v>175108</v>
      </c>
      <c r="G11" s="44">
        <f>Tongmuc2022!L12</f>
        <v>12244.3024825088</v>
      </c>
      <c r="H11" s="191">
        <f t="shared" si="2"/>
        <v>-1.9750021414714627E-2</v>
      </c>
      <c r="I11" s="44">
        <f>Tongmuc2022!O12</f>
        <v>159648.6525035864</v>
      </c>
      <c r="J11" s="176">
        <f t="shared" si="3"/>
        <v>-1.8253611224002389E-2</v>
      </c>
      <c r="K11" s="9">
        <f t="shared" si="1"/>
        <v>171892.9549860952</v>
      </c>
      <c r="L11" s="177">
        <f t="shared" si="4"/>
        <v>-1.8360354831902622E-2</v>
      </c>
      <c r="M11" s="190"/>
      <c r="N11" s="190"/>
      <c r="P11" s="45"/>
    </row>
    <row r="12" spans="1:16" ht="19" customHeight="1">
      <c r="A12" s="6">
        <v>4</v>
      </c>
      <c r="B12" s="7" t="s">
        <v>16</v>
      </c>
      <c r="C12" s="69" t="s">
        <v>73</v>
      </c>
      <c r="D12" s="8">
        <f>Tongmucthanhtoan2019_2021!E13</f>
        <v>23385</v>
      </c>
      <c r="E12" s="8">
        <f>Tongmucthanhtoan2019_2021!G13</f>
        <v>198111</v>
      </c>
      <c r="F12" s="9">
        <f t="shared" si="0"/>
        <v>221496</v>
      </c>
      <c r="G12" s="44">
        <f>Tongmuc2022!L13</f>
        <v>23194.36656273792</v>
      </c>
      <c r="H12" s="191">
        <f t="shared" si="2"/>
        <v>-8.1519536994689081E-3</v>
      </c>
      <c r="I12" s="44">
        <f>Tongmuc2022!O13</f>
        <v>193100.9305990602</v>
      </c>
      <c r="J12" s="176">
        <f t="shared" si="3"/>
        <v>-2.5289203532059296E-2</v>
      </c>
      <c r="K12" s="9">
        <f t="shared" si="1"/>
        <v>216295.29716179811</v>
      </c>
      <c r="L12" s="177">
        <f t="shared" si="4"/>
        <v>-2.3479895068993981E-2</v>
      </c>
      <c r="M12" s="190"/>
      <c r="N12" s="190"/>
      <c r="P12" s="45"/>
    </row>
    <row r="13" spans="1:16" ht="19" customHeight="1">
      <c r="A13" s="6">
        <v>5</v>
      </c>
      <c r="B13" s="7" t="s">
        <v>17</v>
      </c>
      <c r="C13" s="69" t="s">
        <v>74</v>
      </c>
      <c r="D13" s="8">
        <f>Tongmucthanhtoan2019_2021!E14</f>
        <v>13120</v>
      </c>
      <c r="E13" s="8">
        <f>Tongmucthanhtoan2019_2021!G14</f>
        <v>262867</v>
      </c>
      <c r="F13" s="9">
        <f t="shared" si="0"/>
        <v>275987</v>
      </c>
      <c r="G13" s="44">
        <f>Tongmuc2022!L14</f>
        <v>13065.818257509371</v>
      </c>
      <c r="H13" s="191">
        <f t="shared" si="2"/>
        <v>-4.1297059825174849E-3</v>
      </c>
      <c r="I13" s="44">
        <f>Tongmuc2022!O14</f>
        <v>258157.34188886199</v>
      </c>
      <c r="J13" s="176">
        <f t="shared" si="3"/>
        <v>-1.791650572775589E-2</v>
      </c>
      <c r="K13" s="9">
        <f t="shared" si="1"/>
        <v>271223.16014637135</v>
      </c>
      <c r="L13" s="177">
        <f t="shared" si="4"/>
        <v>-1.7261102347678168E-2</v>
      </c>
      <c r="M13" s="190"/>
      <c r="N13" s="190"/>
      <c r="P13" s="45"/>
    </row>
    <row r="14" spans="1:16" ht="19" customHeight="1">
      <c r="A14" s="6">
        <v>6</v>
      </c>
      <c r="B14" s="7" t="s">
        <v>18</v>
      </c>
      <c r="C14" s="69" t="s">
        <v>75</v>
      </c>
      <c r="D14" s="8">
        <f>Tongmucthanhtoan2019_2021!E15</f>
        <v>11180</v>
      </c>
      <c r="E14" s="8">
        <f>Tongmucthanhtoan2019_2021!G15</f>
        <v>147909</v>
      </c>
      <c r="F14" s="9">
        <f t="shared" si="0"/>
        <v>159089</v>
      </c>
      <c r="G14" s="44">
        <f>Tongmuc2022!L15</f>
        <v>10886.742014076201</v>
      </c>
      <c r="H14" s="191">
        <f t="shared" si="2"/>
        <v>-2.6230589080840735E-2</v>
      </c>
      <c r="I14" s="44">
        <f>Tongmuc2022!O15</f>
        <v>145743.06544564798</v>
      </c>
      <c r="J14" s="176">
        <f t="shared" si="3"/>
        <v>-1.4643696829483112E-2</v>
      </c>
      <c r="K14" s="9">
        <f t="shared" si="1"/>
        <v>156629.80745972419</v>
      </c>
      <c r="L14" s="177">
        <f t="shared" si="4"/>
        <v>-1.5457967177339766E-2</v>
      </c>
      <c r="M14" s="190"/>
      <c r="N14" s="190"/>
      <c r="P14" s="45"/>
    </row>
    <row r="15" spans="1:16" ht="19" customHeight="1">
      <c r="A15" s="6">
        <v>7</v>
      </c>
      <c r="B15" s="7" t="s">
        <v>19</v>
      </c>
      <c r="C15" s="69" t="s">
        <v>77</v>
      </c>
      <c r="D15" s="8">
        <f>Tongmucthanhtoan2019_2021!E16</f>
        <v>9846</v>
      </c>
      <c r="E15" s="8">
        <f>Tongmucthanhtoan2019_2021!G16</f>
        <v>104709</v>
      </c>
      <c r="F15" s="9">
        <f t="shared" si="0"/>
        <v>114555</v>
      </c>
      <c r="G15" s="44">
        <f>Tongmuc2022!L16</f>
        <v>9711.3391907119203</v>
      </c>
      <c r="H15" s="191">
        <f t="shared" si="2"/>
        <v>-1.3676702141791558E-2</v>
      </c>
      <c r="I15" s="44">
        <f>Tongmuc2022!O16</f>
        <v>101764.6934171016</v>
      </c>
      <c r="J15" s="176">
        <f t="shared" si="3"/>
        <v>-2.8118944722023861E-2</v>
      </c>
      <c r="K15" s="9">
        <f t="shared" si="1"/>
        <v>111476.03260781353</v>
      </c>
      <c r="L15" s="177">
        <f t="shared" si="4"/>
        <v>-2.6877634255916147E-2</v>
      </c>
      <c r="M15" s="190"/>
      <c r="N15" s="190"/>
      <c r="P15" s="45"/>
    </row>
    <row r="16" spans="1:16" ht="19" customHeight="1">
      <c r="A16" s="6">
        <v>8</v>
      </c>
      <c r="B16" s="7" t="s">
        <v>20</v>
      </c>
      <c r="C16" s="69" t="s">
        <v>78</v>
      </c>
      <c r="D16" s="8">
        <f>Tongmucthanhtoan2019_2021!E17</f>
        <v>7994</v>
      </c>
      <c r="E16" s="8">
        <f>Tongmucthanhtoan2019_2021!G17</f>
        <v>76226</v>
      </c>
      <c r="F16" s="9">
        <f t="shared" si="0"/>
        <v>84220</v>
      </c>
      <c r="G16" s="44">
        <f>Tongmuc2022!L17</f>
        <v>7819.3300366243993</v>
      </c>
      <c r="H16" s="191">
        <f t="shared" si="2"/>
        <v>-2.1850133021716373E-2</v>
      </c>
      <c r="I16" s="44">
        <f>Tongmuc2022!O17</f>
        <v>76273.724629857199</v>
      </c>
      <c r="J16" s="176">
        <f t="shared" si="3"/>
        <v>6.2609385061788677E-4</v>
      </c>
      <c r="K16" s="9">
        <f t="shared" si="1"/>
        <v>84093.054666481592</v>
      </c>
      <c r="L16" s="177">
        <f t="shared" si="4"/>
        <v>-1.5073062635764427E-3</v>
      </c>
      <c r="M16" s="190"/>
      <c r="N16" s="190"/>
      <c r="P16" s="45"/>
    </row>
    <row r="17" spans="1:16" ht="19" customHeight="1">
      <c r="A17" s="6">
        <v>9</v>
      </c>
      <c r="B17" s="7" t="s">
        <v>21</v>
      </c>
      <c r="C17" s="69" t="s">
        <v>79</v>
      </c>
      <c r="D17" s="8">
        <f>Tongmucthanhtoan2019_2021!E18</f>
        <v>13259</v>
      </c>
      <c r="E17" s="8">
        <f>Tongmucthanhtoan2019_2021!G18</f>
        <v>116924</v>
      </c>
      <c r="F17" s="9">
        <f t="shared" si="0"/>
        <v>130183</v>
      </c>
      <c r="G17" s="44">
        <f>Tongmuc2022!L18</f>
        <v>14270.05419862736</v>
      </c>
      <c r="H17" s="191">
        <f t="shared" si="2"/>
        <v>7.6254181961487311E-2</v>
      </c>
      <c r="I17" s="44">
        <f>Tongmuc2022!O18</f>
        <v>115638.9671093666</v>
      </c>
      <c r="J17" s="176">
        <f t="shared" si="3"/>
        <v>-1.0990326114684782E-2</v>
      </c>
      <c r="K17" s="9">
        <f t="shared" si="1"/>
        <v>129909.02130799396</v>
      </c>
      <c r="L17" s="177">
        <f t="shared" si="4"/>
        <v>-2.104565818932144E-3</v>
      </c>
      <c r="M17" s="190"/>
      <c r="N17" s="190"/>
      <c r="P17" s="45"/>
    </row>
    <row r="18" spans="1:16" ht="19" customHeight="1">
      <c r="A18" s="6">
        <v>10</v>
      </c>
      <c r="B18" s="7" t="s">
        <v>22</v>
      </c>
      <c r="C18" s="69" t="s">
        <v>80</v>
      </c>
      <c r="D18" s="8">
        <f>Tongmucthanhtoan2019_2021!E19</f>
        <v>2983</v>
      </c>
      <c r="E18" s="8">
        <f>Tongmucthanhtoan2019_2021!G19</f>
        <v>35571</v>
      </c>
      <c r="F18" s="9">
        <f t="shared" si="0"/>
        <v>38554</v>
      </c>
      <c r="G18" s="44">
        <f>Tongmuc2022!L19</f>
        <v>2919.1614654477999</v>
      </c>
      <c r="H18" s="191">
        <f t="shared" si="2"/>
        <v>-2.140078261890719E-2</v>
      </c>
      <c r="I18" s="44">
        <f>Tongmuc2022!O19</f>
        <v>34968.4434904152</v>
      </c>
      <c r="J18" s="176">
        <f t="shared" si="3"/>
        <v>-1.6939543717770084E-2</v>
      </c>
      <c r="K18" s="9">
        <f t="shared" si="1"/>
        <v>37887.604955863004</v>
      </c>
      <c r="L18" s="177">
        <f t="shared" si="4"/>
        <v>-1.7284718683845936E-2</v>
      </c>
      <c r="M18" s="190"/>
      <c r="N18" s="190"/>
      <c r="P18" s="45"/>
    </row>
    <row r="19" spans="1:16" ht="19" customHeight="1">
      <c r="A19" s="6">
        <v>11</v>
      </c>
      <c r="B19" s="7" t="s">
        <v>23</v>
      </c>
      <c r="C19" s="69" t="s">
        <v>81</v>
      </c>
      <c r="D19" s="8">
        <f>Tongmucthanhtoan2019_2021!E20</f>
        <v>6817</v>
      </c>
      <c r="E19" s="8">
        <f>Tongmucthanhtoan2019_2021!G20</f>
        <v>58772</v>
      </c>
      <c r="F19" s="9">
        <f t="shared" si="0"/>
        <v>65589</v>
      </c>
      <c r="G19" s="44">
        <f>Tongmuc2022!L20</f>
        <v>6919.9672527888706</v>
      </c>
      <c r="H19" s="191">
        <f t="shared" si="2"/>
        <v>1.5104481852555465E-2</v>
      </c>
      <c r="I19" s="44">
        <f>Tongmuc2022!O20</f>
        <v>58775.827313466798</v>
      </c>
      <c r="J19" s="176">
        <f t="shared" si="3"/>
        <v>6.5121375260292867E-5</v>
      </c>
      <c r="K19" s="9">
        <f t="shared" si="1"/>
        <v>65695.794566255674</v>
      </c>
      <c r="L19" s="177">
        <f t="shared" si="4"/>
        <v>1.6282389768966443E-3</v>
      </c>
      <c r="M19" s="190"/>
      <c r="N19" s="190"/>
      <c r="P19" s="45"/>
    </row>
    <row r="20" spans="1:16" ht="19" customHeight="1">
      <c r="A20" s="6">
        <v>12</v>
      </c>
      <c r="B20" s="7" t="s">
        <v>24</v>
      </c>
      <c r="C20" s="69" t="s">
        <v>82</v>
      </c>
      <c r="D20" s="8">
        <f>Tongmucthanhtoan2019_2021!E21</f>
        <v>4848</v>
      </c>
      <c r="E20" s="8">
        <f>Tongmucthanhtoan2019_2021!G21</f>
        <v>27829</v>
      </c>
      <c r="F20" s="9">
        <f t="shared" si="0"/>
        <v>32677</v>
      </c>
      <c r="G20" s="44">
        <f>Tongmuc2022!L21</f>
        <v>4790.1447298024577</v>
      </c>
      <c r="H20" s="191">
        <f t="shared" si="2"/>
        <v>-1.1933842862529345E-2</v>
      </c>
      <c r="I20" s="44">
        <f>Tongmuc2022!O21</f>
        <v>27931.213127195078</v>
      </c>
      <c r="J20" s="176">
        <f t="shared" si="3"/>
        <v>3.6728997518803556E-3</v>
      </c>
      <c r="K20" s="9">
        <f t="shared" si="1"/>
        <v>32721.357856997536</v>
      </c>
      <c r="L20" s="177">
        <f t="shared" si="4"/>
        <v>1.3574641796228585E-3</v>
      </c>
      <c r="M20" s="190"/>
      <c r="N20" s="190"/>
      <c r="P20" s="45"/>
    </row>
    <row r="21" spans="1:16" ht="19" customHeight="1">
      <c r="A21" s="6">
        <v>13</v>
      </c>
      <c r="B21" s="7" t="s">
        <v>25</v>
      </c>
      <c r="C21" s="69" t="s">
        <v>83</v>
      </c>
      <c r="D21" s="8">
        <f>Tongmucthanhtoan2019_2021!E22</f>
        <v>33979</v>
      </c>
      <c r="E21" s="8">
        <f>Tongmucthanhtoan2019_2021!G22</f>
        <v>142775</v>
      </c>
      <c r="F21" s="9">
        <f t="shared" si="0"/>
        <v>176754</v>
      </c>
      <c r="G21" s="44">
        <f>Tongmuc2022!L22</f>
        <v>33612.211347233642</v>
      </c>
      <c r="H21" s="191">
        <f t="shared" si="2"/>
        <v>-1.07945687856134E-2</v>
      </c>
      <c r="I21" s="44">
        <f>Tongmuc2022!O22</f>
        <v>144501.93902684216</v>
      </c>
      <c r="J21" s="176">
        <f t="shared" si="3"/>
        <v>1.2095528116562114E-2</v>
      </c>
      <c r="K21" s="9">
        <f t="shared" si="1"/>
        <v>178114.15037407581</v>
      </c>
      <c r="L21" s="177">
        <f t="shared" si="4"/>
        <v>7.6951603588931812E-3</v>
      </c>
      <c r="M21" s="190"/>
      <c r="N21" s="190"/>
      <c r="P21" s="45"/>
    </row>
    <row r="22" spans="1:16" ht="19" customHeight="1">
      <c r="A22" s="6">
        <v>14</v>
      </c>
      <c r="B22" s="7" t="s">
        <v>26</v>
      </c>
      <c r="C22" s="69" t="s">
        <v>84</v>
      </c>
      <c r="D22" s="8">
        <f>Tongmucthanhtoan2019_2021!E23</f>
        <v>3161</v>
      </c>
      <c r="E22" s="8">
        <f>Tongmucthanhtoan2019_2021!G23</f>
        <v>12444</v>
      </c>
      <c r="F22" s="9">
        <f t="shared" si="0"/>
        <v>15605</v>
      </c>
      <c r="G22" s="44">
        <f>Tongmuc2022!L23</f>
        <v>3101.4420000775763</v>
      </c>
      <c r="H22" s="191">
        <f t="shared" si="2"/>
        <v>-1.8841505828036613E-2</v>
      </c>
      <c r="I22" s="44">
        <f>Tongmuc2022!O23</f>
        <v>11910.607015842601</v>
      </c>
      <c r="J22" s="176">
        <f t="shared" si="3"/>
        <v>-4.286346706504332E-2</v>
      </c>
      <c r="K22" s="9">
        <f t="shared" si="1"/>
        <v>15012.049015920176</v>
      </c>
      <c r="L22" s="177">
        <f t="shared" si="4"/>
        <v>-3.7997499780828177E-2</v>
      </c>
      <c r="M22" s="190"/>
      <c r="N22" s="190"/>
      <c r="P22" s="45"/>
    </row>
    <row r="23" spans="1:16" ht="19" customHeight="1">
      <c r="A23" s="6">
        <v>15</v>
      </c>
      <c r="B23" s="7" t="s">
        <v>27</v>
      </c>
      <c r="C23" s="69" t="s">
        <v>85</v>
      </c>
      <c r="D23" s="8">
        <f>Tongmucthanhtoan2019_2021!E24</f>
        <v>3388</v>
      </c>
      <c r="E23" s="8">
        <f>Tongmucthanhtoan2019_2021!G24</f>
        <v>2022</v>
      </c>
      <c r="F23" s="9">
        <f t="shared" si="0"/>
        <v>5410</v>
      </c>
      <c r="G23" s="44">
        <f>Tongmuc2022!L24</f>
        <v>3348.0577614106214</v>
      </c>
      <c r="H23" s="191">
        <f t="shared" si="2"/>
        <v>-1.1789326620241611E-2</v>
      </c>
      <c r="I23" s="44">
        <f>Tongmuc2022!O24</f>
        <v>1990.5162062748</v>
      </c>
      <c r="J23" s="176">
        <f t="shared" si="3"/>
        <v>-1.5570620042136513E-2</v>
      </c>
      <c r="K23" s="9">
        <f t="shared" si="1"/>
        <v>5338.5739676854209</v>
      </c>
      <c r="L23" s="177">
        <f t="shared" si="4"/>
        <v>-1.320259377348966E-2</v>
      </c>
      <c r="M23" s="190"/>
      <c r="N23" s="190"/>
      <c r="P23" s="45"/>
    </row>
    <row r="24" spans="1:16" ht="19" customHeight="1">
      <c r="A24" s="6">
        <v>16</v>
      </c>
      <c r="B24" s="7" t="s">
        <v>28</v>
      </c>
      <c r="C24" s="69" t="s">
        <v>86</v>
      </c>
      <c r="D24" s="8">
        <f>Tongmucthanhtoan2019_2021!E25</f>
        <v>5226</v>
      </c>
      <c r="E24" s="8">
        <f>Tongmucthanhtoan2019_2021!G25</f>
        <v>1714</v>
      </c>
      <c r="F24" s="9">
        <f t="shared" si="0"/>
        <v>6940</v>
      </c>
      <c r="G24" s="44">
        <f>Tongmuc2022!L25</f>
        <v>5161.5034481573166</v>
      </c>
      <c r="H24" s="191">
        <f t="shared" si="2"/>
        <v>-1.2341475668328244E-2</v>
      </c>
      <c r="I24" s="44">
        <f>Tongmuc2022!O25</f>
        <v>4284.10302736632</v>
      </c>
      <c r="J24" s="176">
        <f t="shared" si="3"/>
        <v>1.4994766787434772</v>
      </c>
      <c r="K24" s="9">
        <f t="shared" si="1"/>
        <v>9445.6064755236366</v>
      </c>
      <c r="L24" s="177">
        <f t="shared" si="4"/>
        <v>0.36103839704951535</v>
      </c>
      <c r="M24" s="190"/>
      <c r="N24" s="190"/>
      <c r="P24" s="45"/>
    </row>
    <row r="25" spans="1:16" ht="19" customHeight="1">
      <c r="A25" s="6">
        <v>17</v>
      </c>
      <c r="B25" s="7" t="s">
        <v>29</v>
      </c>
      <c r="C25" s="69" t="s">
        <v>87</v>
      </c>
      <c r="D25" s="8">
        <f>Tongmucthanhtoan2019_2021!E26</f>
        <v>2116</v>
      </c>
      <c r="E25" s="8">
        <f>Tongmucthanhtoan2019_2021!G26</f>
        <v>20199</v>
      </c>
      <c r="F25" s="9">
        <f t="shared" si="0"/>
        <v>22315</v>
      </c>
      <c r="G25" s="44">
        <f>Tongmuc2022!L26</f>
        <v>2259.9164035941399</v>
      </c>
      <c r="H25" s="191">
        <f t="shared" si="2"/>
        <v>6.8013423248648328E-2</v>
      </c>
      <c r="I25" s="44">
        <f>Tongmuc2022!O26</f>
        <v>19935.182443328402</v>
      </c>
      <c r="J25" s="176">
        <f t="shared" si="3"/>
        <v>-1.3060921663032731E-2</v>
      </c>
      <c r="K25" s="9">
        <f t="shared" si="1"/>
        <v>22195.098846922541</v>
      </c>
      <c r="L25" s="177">
        <f t="shared" si="4"/>
        <v>-5.3731191161756099E-3</v>
      </c>
      <c r="M25" s="190"/>
      <c r="N25" s="190"/>
      <c r="P25" s="45"/>
    </row>
    <row r="26" spans="1:16" ht="19" customHeight="1">
      <c r="A26" s="6">
        <v>18</v>
      </c>
      <c r="B26" s="7" t="s">
        <v>30</v>
      </c>
      <c r="C26" s="69" t="s">
        <v>88</v>
      </c>
      <c r="D26" s="8">
        <f>Tongmucthanhtoan2019_2021!E27</f>
        <v>3156</v>
      </c>
      <c r="E26" s="8">
        <f>Tongmucthanhtoan2019_2021!G27</f>
        <v>3381</v>
      </c>
      <c r="F26" s="9">
        <f t="shared" si="0"/>
        <v>6537</v>
      </c>
      <c r="G26" s="44">
        <f>Tongmuc2022!L27</f>
        <v>3138.1353606240236</v>
      </c>
      <c r="H26" s="191">
        <f t="shared" si="2"/>
        <v>-5.6605321216655156E-3</v>
      </c>
      <c r="I26" s="44">
        <f>Tongmuc2022!O27</f>
        <v>3446.15647596588</v>
      </c>
      <c r="J26" s="176">
        <f t="shared" si="3"/>
        <v>1.9271362308748881E-2</v>
      </c>
      <c r="K26" s="9">
        <f t="shared" si="1"/>
        <v>6584.2918365899041</v>
      </c>
      <c r="L26" s="177">
        <f t="shared" si="4"/>
        <v>7.2344862459697186E-3</v>
      </c>
      <c r="M26" s="190"/>
      <c r="N26" s="190"/>
      <c r="P26" s="45"/>
    </row>
    <row r="27" spans="1:16" ht="19" customHeight="1">
      <c r="A27" s="6">
        <v>19</v>
      </c>
      <c r="B27" s="7" t="s">
        <v>31</v>
      </c>
      <c r="C27" s="69" t="s">
        <v>89</v>
      </c>
      <c r="D27" s="8">
        <f>Tongmucthanhtoan2019_2021!E28</f>
        <v>11025</v>
      </c>
      <c r="E27" s="8">
        <f>Tongmucthanhtoan2019_2021!G28</f>
        <v>16763</v>
      </c>
      <c r="F27" s="9">
        <f t="shared" si="0"/>
        <v>27788</v>
      </c>
      <c r="G27" s="44">
        <f>Tongmuc2022!L28</f>
        <v>10979.533004637802</v>
      </c>
      <c r="H27" s="191">
        <f t="shared" si="2"/>
        <v>-4.1239905090428887E-3</v>
      </c>
      <c r="I27" s="44">
        <f>Tongmuc2022!O28</f>
        <v>17447.812341402921</v>
      </c>
      <c r="J27" s="176">
        <f t="shared" si="3"/>
        <v>4.0852612384592341E-2</v>
      </c>
      <c r="K27" s="9">
        <f t="shared" si="1"/>
        <v>28427.345346040725</v>
      </c>
      <c r="L27" s="177">
        <f t="shared" si="4"/>
        <v>2.3007965526152491E-2</v>
      </c>
      <c r="M27" s="190"/>
      <c r="N27" s="190"/>
      <c r="P27" s="45"/>
    </row>
    <row r="28" spans="1:16" ht="19" customHeight="1">
      <c r="A28" s="6">
        <v>20</v>
      </c>
      <c r="B28" s="7" t="s">
        <v>32</v>
      </c>
      <c r="C28" s="69" t="s">
        <v>91</v>
      </c>
      <c r="D28" s="8">
        <f>Tongmucthanhtoan2019_2021!E29</f>
        <v>12622</v>
      </c>
      <c r="E28" s="8">
        <f>Tongmucthanhtoan2019_2021!G29</f>
        <v>47048</v>
      </c>
      <c r="F28" s="9">
        <f t="shared" si="0"/>
        <v>59670</v>
      </c>
      <c r="G28" s="44">
        <f>Tongmuc2022!L29</f>
        <v>12153.982557990999</v>
      </c>
      <c r="H28" s="191">
        <f t="shared" si="2"/>
        <v>-3.7079499446125867E-2</v>
      </c>
      <c r="I28" s="44">
        <f>Tongmuc2022!O29</f>
        <v>44876.841422250189</v>
      </c>
      <c r="J28" s="176">
        <f t="shared" si="3"/>
        <v>-4.6147733755947357E-2</v>
      </c>
      <c r="K28" s="9">
        <f t="shared" si="1"/>
        <v>57030.823980241184</v>
      </c>
      <c r="L28" s="177">
        <f t="shared" si="4"/>
        <v>-4.4229529407722734E-2</v>
      </c>
      <c r="M28" s="190"/>
      <c r="N28" s="190"/>
      <c r="P28" s="45"/>
    </row>
    <row r="29" spans="1:16" ht="19" customHeight="1">
      <c r="A29" s="6">
        <v>21</v>
      </c>
      <c r="B29" s="7" t="s">
        <v>33</v>
      </c>
      <c r="C29" s="69" t="s">
        <v>93</v>
      </c>
      <c r="D29" s="8">
        <f>Tongmucthanhtoan2019_2021!E30</f>
        <v>3980</v>
      </c>
      <c r="E29" s="8">
        <f>Tongmucthanhtoan2019_2021!G30</f>
        <v>74734</v>
      </c>
      <c r="F29" s="9">
        <f t="shared" si="0"/>
        <v>78714</v>
      </c>
      <c r="G29" s="44">
        <f>Tongmuc2022!L30</f>
        <v>3898.9977103711999</v>
      </c>
      <c r="H29" s="191">
        <f t="shared" si="2"/>
        <v>-2.0352334077587964E-2</v>
      </c>
      <c r="I29" s="44">
        <f>Tongmuc2022!O30</f>
        <v>75645.935987581237</v>
      </c>
      <c r="J29" s="176">
        <f t="shared" si="3"/>
        <v>1.2202424433072456E-2</v>
      </c>
      <c r="K29" s="9">
        <f t="shared" si="1"/>
        <v>79544.933697952438</v>
      </c>
      <c r="L29" s="177">
        <f t="shared" si="4"/>
        <v>1.055636478837866E-2</v>
      </c>
      <c r="M29" s="190"/>
      <c r="N29" s="190"/>
      <c r="P29" s="45"/>
    </row>
    <row r="30" spans="1:16" ht="19" customHeight="1">
      <c r="A30" s="6">
        <v>22</v>
      </c>
      <c r="B30" s="7" t="s">
        <v>34</v>
      </c>
      <c r="C30" s="69" t="s">
        <v>94</v>
      </c>
      <c r="D30" s="8">
        <f>Tongmucthanhtoan2019_2021!E31</f>
        <v>0</v>
      </c>
      <c r="E30" s="8">
        <f>Tongmucthanhtoan2019_2021!G31</f>
        <v>11643</v>
      </c>
      <c r="F30" s="9">
        <f t="shared" si="0"/>
        <v>11643</v>
      </c>
      <c r="G30" s="44">
        <f>Tongmuc2022!L31</f>
        <v>0</v>
      </c>
      <c r="H30" s="191"/>
      <c r="I30" s="44">
        <f>Tongmuc2022!O31</f>
        <v>11400.8071060806</v>
      </c>
      <c r="J30" s="176">
        <f t="shared" si="3"/>
        <v>-2.0801588415305366E-2</v>
      </c>
      <c r="K30" s="9">
        <f t="shared" si="1"/>
        <v>11400.8071060806</v>
      </c>
      <c r="L30" s="177">
        <f t="shared" si="4"/>
        <v>-2.0801588415305366E-2</v>
      </c>
      <c r="M30" s="190"/>
      <c r="N30" s="190"/>
      <c r="P30" s="45"/>
    </row>
    <row r="31" spans="1:16" ht="19" customHeight="1">
      <c r="A31" s="6">
        <v>23</v>
      </c>
      <c r="B31" s="7" t="s">
        <v>35</v>
      </c>
      <c r="C31" s="69" t="s">
        <v>96</v>
      </c>
      <c r="D31" s="8">
        <f>Tongmucthanhtoan2019_2021!E32</f>
        <v>0</v>
      </c>
      <c r="E31" s="8">
        <f>Tongmucthanhtoan2019_2021!G32</f>
        <v>141755</v>
      </c>
      <c r="F31" s="9">
        <f t="shared" si="0"/>
        <v>141755</v>
      </c>
      <c r="G31" s="44">
        <f>Tongmuc2022!L32</f>
        <v>0</v>
      </c>
      <c r="H31" s="191"/>
      <c r="I31" s="44">
        <f>Tongmuc2022!O32</f>
        <v>139192.9016722322</v>
      </c>
      <c r="J31" s="176">
        <f t="shared" si="3"/>
        <v>-1.8074130208936563E-2</v>
      </c>
      <c r="K31" s="9">
        <f t="shared" si="1"/>
        <v>139192.9016722322</v>
      </c>
      <c r="L31" s="177">
        <f t="shared" si="4"/>
        <v>-1.8074130208936563E-2</v>
      </c>
      <c r="M31" s="190"/>
      <c r="N31" s="190"/>
      <c r="P31" s="45"/>
    </row>
    <row r="32" spans="1:16" ht="19" customHeight="1">
      <c r="A32" s="6">
        <v>24</v>
      </c>
      <c r="B32" s="7" t="s">
        <v>36</v>
      </c>
      <c r="C32" s="69" t="s">
        <v>98</v>
      </c>
      <c r="D32" s="8">
        <f>Tongmucthanhtoan2019_2021!E33</f>
        <v>0</v>
      </c>
      <c r="E32" s="8">
        <f>Tongmucthanhtoan2019_2021!G33</f>
        <v>88991</v>
      </c>
      <c r="F32" s="9">
        <f t="shared" si="0"/>
        <v>88991</v>
      </c>
      <c r="G32" s="44">
        <f>Tongmuc2022!L33</f>
        <v>0</v>
      </c>
      <c r="H32" s="191"/>
      <c r="I32" s="44">
        <f>Tongmuc2022!O33</f>
        <v>87855.102291168805</v>
      </c>
      <c r="J32" s="176">
        <f t="shared" si="3"/>
        <v>-1.2764186365263845E-2</v>
      </c>
      <c r="K32" s="9">
        <f t="shared" si="1"/>
        <v>87855.102291168805</v>
      </c>
      <c r="L32" s="177">
        <f t="shared" si="4"/>
        <v>-1.2764186365263845E-2</v>
      </c>
      <c r="M32" s="190"/>
      <c r="N32" s="190"/>
      <c r="P32" s="45"/>
    </row>
    <row r="33" spans="1:16" ht="19" customHeight="1">
      <c r="A33" s="6">
        <v>25</v>
      </c>
      <c r="B33" s="7" t="s">
        <v>37</v>
      </c>
      <c r="C33" s="69" t="s">
        <v>100</v>
      </c>
      <c r="D33" s="8">
        <f>Tongmucthanhtoan2019_2021!E34</f>
        <v>0</v>
      </c>
      <c r="E33" s="8">
        <f>Tongmucthanhtoan2019_2021!G34</f>
        <v>192813</v>
      </c>
      <c r="F33" s="9">
        <f t="shared" si="0"/>
        <v>192813</v>
      </c>
      <c r="G33" s="44">
        <f>Tongmuc2022!L34</f>
        <v>0</v>
      </c>
      <c r="H33" s="191"/>
      <c r="I33" s="44">
        <f>Tongmuc2022!O34</f>
        <v>190592.00924844708</v>
      </c>
      <c r="J33" s="176">
        <f t="shared" si="3"/>
        <v>-1.1518884886148337E-2</v>
      </c>
      <c r="K33" s="9">
        <f t="shared" si="1"/>
        <v>190592.00924844708</v>
      </c>
      <c r="L33" s="177">
        <f t="shared" si="4"/>
        <v>-1.1518884886148337E-2</v>
      </c>
      <c r="M33" s="190"/>
      <c r="N33" s="190"/>
      <c r="P33" s="45"/>
    </row>
    <row r="34" spans="1:16" ht="19" customHeight="1">
      <c r="A34" s="6">
        <v>26</v>
      </c>
      <c r="B34" s="7" t="s">
        <v>38</v>
      </c>
      <c r="C34" s="69" t="s">
        <v>101</v>
      </c>
      <c r="D34" s="8">
        <f>Tongmucthanhtoan2019_2021!E35</f>
        <v>0</v>
      </c>
      <c r="E34" s="8">
        <f>Tongmucthanhtoan2019_2021!G35</f>
        <v>24534</v>
      </c>
      <c r="F34" s="9">
        <f t="shared" si="0"/>
        <v>24534</v>
      </c>
      <c r="G34" s="44">
        <f>Tongmuc2022!L35</f>
        <v>0</v>
      </c>
      <c r="H34" s="191"/>
      <c r="I34" s="44">
        <f>Tongmuc2022!O35</f>
        <v>24342.760716436802</v>
      </c>
      <c r="J34" s="176">
        <f t="shared" si="3"/>
        <v>-7.7948676760087269E-3</v>
      </c>
      <c r="K34" s="9">
        <f t="shared" si="1"/>
        <v>24342.760716436802</v>
      </c>
      <c r="L34" s="177">
        <f t="shared" si="4"/>
        <v>-7.7948676760087269E-3</v>
      </c>
      <c r="M34" s="190"/>
      <c r="N34" s="190"/>
      <c r="P34" s="45"/>
    </row>
    <row r="35" spans="1:16" ht="19" customHeight="1">
      <c r="A35" s="6">
        <v>27</v>
      </c>
      <c r="B35" s="7" t="s">
        <v>39</v>
      </c>
      <c r="C35" s="69" t="s">
        <v>102</v>
      </c>
      <c r="D35" s="8">
        <f>Tongmucthanhtoan2019_2021!E36</f>
        <v>0</v>
      </c>
      <c r="E35" s="8">
        <f>Tongmucthanhtoan2019_2021!G36</f>
        <v>6415</v>
      </c>
      <c r="F35" s="9">
        <f t="shared" si="0"/>
        <v>6415</v>
      </c>
      <c r="G35" s="44">
        <f>Tongmuc2022!L36</f>
        <v>0</v>
      </c>
      <c r="H35" s="191"/>
      <c r="I35" s="44">
        <f>Tongmuc2022!O36</f>
        <v>17174.432788358681</v>
      </c>
      <c r="J35" s="176">
        <f t="shared" si="3"/>
        <v>1.6772303645142137</v>
      </c>
      <c r="K35" s="9">
        <f t="shared" si="1"/>
        <v>17174.432788358681</v>
      </c>
      <c r="L35" s="177">
        <f t="shared" si="4"/>
        <v>1.6772303645142137</v>
      </c>
      <c r="M35" s="190"/>
      <c r="N35" s="190"/>
      <c r="P35" s="45"/>
    </row>
    <row r="36" spans="1:16" ht="19" customHeight="1">
      <c r="A36" s="6">
        <v>28</v>
      </c>
      <c r="B36" s="7" t="s">
        <v>40</v>
      </c>
      <c r="C36" s="69" t="s">
        <v>104</v>
      </c>
      <c r="D36" s="8">
        <f>Tongmucthanhtoan2019_2021!E37</f>
        <v>0</v>
      </c>
      <c r="E36" s="8">
        <f>Tongmucthanhtoan2019_2021!G37</f>
        <v>11501</v>
      </c>
      <c r="F36" s="9">
        <f t="shared" si="0"/>
        <v>11501</v>
      </c>
      <c r="G36" s="44">
        <f>Tongmuc2022!L37</f>
        <v>0</v>
      </c>
      <c r="H36" s="191"/>
      <c r="I36" s="44">
        <f>Tongmuc2022!O37</f>
        <v>11261.9520133316</v>
      </c>
      <c r="J36" s="176">
        <f t="shared" si="3"/>
        <v>-2.0784974060377357E-2</v>
      </c>
      <c r="K36" s="9">
        <f t="shared" si="1"/>
        <v>11261.9520133316</v>
      </c>
      <c r="L36" s="177">
        <f t="shared" si="4"/>
        <v>-2.0784974060377357E-2</v>
      </c>
      <c r="M36" s="190"/>
      <c r="N36" s="190"/>
      <c r="P36" s="45"/>
    </row>
    <row r="37" spans="1:16" ht="19" customHeight="1">
      <c r="A37" s="6">
        <v>29</v>
      </c>
      <c r="B37" s="7" t="s">
        <v>41</v>
      </c>
      <c r="C37" s="69" t="s">
        <v>105</v>
      </c>
      <c r="D37" s="8">
        <f>Tongmucthanhtoan2019_2021!E38</f>
        <v>0</v>
      </c>
      <c r="E37" s="8">
        <f>Tongmucthanhtoan2019_2021!G38</f>
        <v>69139</v>
      </c>
      <c r="F37" s="9">
        <f t="shared" si="0"/>
        <v>69139</v>
      </c>
      <c r="G37" s="44">
        <f>Tongmuc2022!L38</f>
        <v>0</v>
      </c>
      <c r="H37" s="191"/>
      <c r="I37" s="44">
        <f>Tongmuc2022!O38</f>
        <v>70658.180903736997</v>
      </c>
      <c r="J37" s="176">
        <f t="shared" si="3"/>
        <v>2.1972850399007749E-2</v>
      </c>
      <c r="K37" s="9">
        <f t="shared" si="1"/>
        <v>70658.180903736997</v>
      </c>
      <c r="L37" s="177">
        <f t="shared" si="4"/>
        <v>2.1972850399007749E-2</v>
      </c>
      <c r="M37" s="190"/>
      <c r="N37" s="190"/>
      <c r="P37" s="45"/>
    </row>
    <row r="38" spans="1:16" ht="19" customHeight="1">
      <c r="A38" s="6">
        <v>30</v>
      </c>
      <c r="B38" s="7" t="s">
        <v>68</v>
      </c>
      <c r="C38" s="69" t="s">
        <v>116</v>
      </c>
      <c r="D38" s="8">
        <f>Tongmucthanhtoan2019_2021!E39</f>
        <v>14804</v>
      </c>
      <c r="E38" s="8">
        <f>Tongmucthanhtoan2019_2021!G39</f>
        <v>122890</v>
      </c>
      <c r="F38" s="9">
        <f t="shared" si="0"/>
        <v>137694</v>
      </c>
      <c r="G38" s="44">
        <f>Tongmuc2022!L39</f>
        <v>14781.189153147201</v>
      </c>
      <c r="H38" s="191">
        <f t="shared" si="2"/>
        <v>-1.5408569881652885E-3</v>
      </c>
      <c r="I38" s="44">
        <f>Tongmuc2022!O39</f>
        <v>117873.89310719201</v>
      </c>
      <c r="J38" s="176">
        <f t="shared" si="3"/>
        <v>-4.0817860629896584E-2</v>
      </c>
      <c r="K38" s="9">
        <f t="shared" si="1"/>
        <v>132655.0822603392</v>
      </c>
      <c r="L38" s="177">
        <f t="shared" si="4"/>
        <v>-3.6595042192548687E-2</v>
      </c>
      <c r="M38" s="190"/>
      <c r="N38" s="190"/>
      <c r="P38" s="45"/>
    </row>
    <row r="39" spans="1:16" ht="19" customHeight="1">
      <c r="A39" s="10">
        <v>31</v>
      </c>
      <c r="B39" s="11" t="s">
        <v>42</v>
      </c>
      <c r="C39" s="70" t="s">
        <v>106</v>
      </c>
      <c r="D39" s="8">
        <f>Tongmucthanhtoan2019_2021!E40</f>
        <v>0</v>
      </c>
      <c r="E39" s="8">
        <f>Tongmucthanhtoan2019_2021!G40</f>
        <v>6920</v>
      </c>
      <c r="F39" s="9">
        <f t="shared" si="0"/>
        <v>6920</v>
      </c>
      <c r="G39" s="44">
        <f>Tongmuc2022!L40</f>
        <v>0</v>
      </c>
      <c r="H39" s="191"/>
      <c r="I39" s="44">
        <f>Tongmuc2022!O40</f>
        <v>10891.098400000001</v>
      </c>
      <c r="J39" s="176">
        <f t="shared" si="3"/>
        <v>0.57385815028901743</v>
      </c>
      <c r="K39" s="9">
        <f t="shared" si="1"/>
        <v>10891.098400000001</v>
      </c>
      <c r="L39" s="177">
        <f t="shared" si="4"/>
        <v>0.57385815028901743</v>
      </c>
      <c r="M39" s="190"/>
      <c r="N39" s="190"/>
      <c r="P39" s="45"/>
    </row>
    <row r="40" spans="1:16" s="15" customFormat="1" ht="19" customHeight="1">
      <c r="A40" s="12">
        <v>32</v>
      </c>
      <c r="B40" s="13" t="s">
        <v>43</v>
      </c>
      <c r="C40" s="71" t="s">
        <v>107</v>
      </c>
      <c r="D40" s="8">
        <f>Tongmucthanhtoan2019_2021!E41</f>
        <v>0</v>
      </c>
      <c r="E40" s="8">
        <f>Tongmucthanhtoan2019_2021!G41</f>
        <v>357</v>
      </c>
      <c r="F40" s="9">
        <f t="shared" si="0"/>
        <v>357</v>
      </c>
      <c r="G40" s="44">
        <f>Tongmuc2022!L41</f>
        <v>0</v>
      </c>
      <c r="H40" s="191"/>
      <c r="I40" s="44">
        <f>Tongmuc2022!O41</f>
        <v>1734.1156000000001</v>
      </c>
      <c r="J40" s="176">
        <f t="shared" si="3"/>
        <v>3.8574666666666668</v>
      </c>
      <c r="K40" s="9">
        <f t="shared" si="1"/>
        <v>1734.1156000000001</v>
      </c>
      <c r="L40" s="177">
        <f t="shared" si="4"/>
        <v>3.8574666666666668</v>
      </c>
      <c r="M40" s="190"/>
      <c r="N40" s="190"/>
      <c r="O40" s="1"/>
      <c r="P40" s="45"/>
    </row>
    <row r="41" spans="1:16" ht="19" customHeight="1">
      <c r="A41" s="6">
        <v>33</v>
      </c>
      <c r="B41" s="7" t="s">
        <v>44</v>
      </c>
      <c r="C41" s="69" t="s">
        <v>117</v>
      </c>
      <c r="D41" s="8">
        <f>Tongmucthanhtoan2019_2021!E42</f>
        <v>0</v>
      </c>
      <c r="E41" s="8">
        <f>Tongmucthanhtoan2019_2021!G42</f>
        <v>0</v>
      </c>
      <c r="F41" s="9">
        <f t="shared" si="0"/>
        <v>0</v>
      </c>
      <c r="G41" s="44">
        <f>Tongmuc2022!L42</f>
        <v>0</v>
      </c>
      <c r="H41" s="191"/>
      <c r="I41" s="44">
        <f>Tongmuc2022!O42</f>
        <v>17417.053400000001</v>
      </c>
      <c r="J41" s="176"/>
      <c r="K41" s="9">
        <f t="shared" si="1"/>
        <v>17417.053400000001</v>
      </c>
      <c r="L41" s="177"/>
      <c r="M41" s="190"/>
      <c r="N41" s="190"/>
      <c r="P41" s="45"/>
    </row>
    <row r="42" spans="1:16" ht="19" customHeight="1">
      <c r="A42" s="6">
        <v>34</v>
      </c>
      <c r="B42" s="7" t="s">
        <v>45</v>
      </c>
      <c r="C42" s="69" t="s">
        <v>118</v>
      </c>
      <c r="D42" s="8">
        <f>Tongmucthanhtoan2019_2021!E43</f>
        <v>0</v>
      </c>
      <c r="E42" s="8">
        <f>Tongmucthanhtoan2019_2021!G43</f>
        <v>0</v>
      </c>
      <c r="F42" s="9">
        <f t="shared" si="0"/>
        <v>0</v>
      </c>
      <c r="G42" s="44">
        <f>Tongmuc2022!L43</f>
        <v>0</v>
      </c>
      <c r="H42" s="191"/>
      <c r="I42" s="44">
        <f>Tongmuc2022!O43</f>
        <v>22807.988600000001</v>
      </c>
      <c r="J42" s="176"/>
      <c r="K42" s="9">
        <f t="shared" si="1"/>
        <v>22807.988600000001</v>
      </c>
      <c r="L42" s="177"/>
      <c r="M42" s="190"/>
      <c r="N42" s="190"/>
      <c r="P42" s="45"/>
    </row>
    <row r="43" spans="1:16" ht="19" customHeight="1">
      <c r="A43" s="207" t="s">
        <v>10</v>
      </c>
      <c r="B43" s="208"/>
      <c r="C43" s="186"/>
      <c r="D43" s="16">
        <f>SUM(D9:D42)</f>
        <v>302561</v>
      </c>
      <c r="E43" s="16">
        <f t="shared" ref="E43:F43" si="5">SUM(E9:E42)</f>
        <v>2560536</v>
      </c>
      <c r="F43" s="16">
        <f t="shared" si="5"/>
        <v>2863097</v>
      </c>
      <c r="G43" s="16">
        <f t="shared" ref="G43:K43" si="6">SUM(G9:G42)</f>
        <v>300039.09719621076</v>
      </c>
      <c r="H43" s="178">
        <f t="shared" si="2"/>
        <v>-8.3351879580952012E-3</v>
      </c>
      <c r="I43" s="16">
        <f t="shared" si="6"/>
        <v>2584344.8497269456</v>
      </c>
      <c r="J43" s="178">
        <f t="shared" si="3"/>
        <v>9.2983850752130122E-3</v>
      </c>
      <c r="K43" s="16">
        <f t="shared" si="6"/>
        <v>2884383.9469231567</v>
      </c>
      <c r="L43" s="178">
        <f t="shared" si="4"/>
        <v>7.434937385340676E-3</v>
      </c>
      <c r="M43" s="181"/>
      <c r="N43" s="181"/>
    </row>
    <row r="44" spans="1:16" ht="19" customHeight="1">
      <c r="A44" s="209"/>
      <c r="B44" s="209"/>
      <c r="C44" s="209"/>
      <c r="D44" s="209"/>
      <c r="E44" s="209"/>
      <c r="F44" s="209"/>
    </row>
    <row r="45" spans="1:16">
      <c r="A45" s="206"/>
      <c r="B45" s="206"/>
      <c r="C45" s="206"/>
      <c r="D45" s="206"/>
      <c r="E45" s="206"/>
      <c r="F45" s="206"/>
      <c r="G45" s="45"/>
      <c r="H45" s="45"/>
      <c r="I45" s="45"/>
      <c r="J45" s="45"/>
      <c r="K45" s="45"/>
      <c r="L45" s="45"/>
    </row>
  </sheetData>
  <mergeCells count="19">
    <mergeCell ref="A45:F45"/>
    <mergeCell ref="G6:H6"/>
    <mergeCell ref="I6:J6"/>
    <mergeCell ref="K6:L6"/>
    <mergeCell ref="A43:B43"/>
    <mergeCell ref="A44:F44"/>
    <mergeCell ref="G5:L5"/>
    <mergeCell ref="D6:D7"/>
    <mergeCell ref="E6:E7"/>
    <mergeCell ref="F6:F7"/>
    <mergeCell ref="A1:D1"/>
    <mergeCell ref="J1:L1"/>
    <mergeCell ref="A2:D2"/>
    <mergeCell ref="A3:L3"/>
    <mergeCell ref="J4:L4"/>
    <mergeCell ref="A5:A7"/>
    <mergeCell ref="B5:B7"/>
    <mergeCell ref="C5:C7"/>
    <mergeCell ref="D5:F5"/>
  </mergeCells>
  <pageMargins left="0.2" right="0.2" top="0.25" bottom="0.28000000000000003" header="0.3" footer="0.3"/>
  <pageSetup paperSize="9" scale="8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1932-B2D0-4672-AF0F-6BF7A9403B7C}">
  <dimension ref="A1:U50"/>
  <sheetViews>
    <sheetView topLeftCell="C1" zoomScaleNormal="100" workbookViewId="0">
      <selection activeCell="R1" sqref="R1:T1"/>
    </sheetView>
  </sheetViews>
  <sheetFormatPr defaultRowHeight="12.5"/>
  <cols>
    <col min="1" max="1" width="6.7265625" style="60" customWidth="1"/>
    <col min="2" max="2" width="31.1796875" style="60" customWidth="1"/>
    <col min="3" max="3" width="5.1796875" style="60" customWidth="1"/>
    <col min="4" max="4" width="7.7265625" style="60" customWidth="1"/>
    <col min="5" max="5" width="8.26953125" style="60" customWidth="1"/>
    <col min="6" max="6" width="7.36328125" style="60" customWidth="1"/>
    <col min="7" max="7" width="7.1796875" style="60" customWidth="1"/>
    <col min="8" max="8" width="6.6328125" style="60" customWidth="1"/>
    <col min="9" max="9" width="7.1796875" style="60" customWidth="1"/>
    <col min="10" max="10" width="6" style="60" customWidth="1"/>
    <col min="11" max="11" width="8.36328125" style="60" customWidth="1"/>
    <col min="12" max="12" width="7.7265625" style="60" customWidth="1"/>
    <col min="13" max="13" width="6.81640625" style="60" customWidth="1"/>
    <col min="14" max="14" width="9.08984375" style="60" customWidth="1"/>
    <col min="15" max="15" width="7.54296875" style="60" customWidth="1"/>
    <col min="16" max="16" width="6.453125" style="60" customWidth="1"/>
    <col min="17" max="17" width="6.6328125" style="60" customWidth="1"/>
    <col min="18" max="18" width="7.81640625" style="60" customWidth="1"/>
    <col min="19" max="19" width="6.1796875" style="60" customWidth="1"/>
    <col min="20" max="20" width="7.6328125" style="60" customWidth="1"/>
    <col min="21" max="190" width="8.7265625" style="60"/>
    <col min="191" max="191" width="6.7265625" style="60" customWidth="1"/>
    <col min="192" max="192" width="23.54296875" style="60" customWidth="1"/>
    <col min="193" max="193" width="8.36328125" style="60" customWidth="1"/>
    <col min="194" max="197" width="13.453125" style="60" customWidth="1"/>
    <col min="198" max="198" width="5" style="60" customWidth="1"/>
    <col min="199" max="199" width="13.453125" style="60" customWidth="1"/>
    <col min="200" max="200" width="10.08984375" style="60" customWidth="1"/>
    <col min="201" max="209" width="13.453125" style="60" customWidth="1"/>
    <col min="210" max="210" width="7.54296875" style="60" customWidth="1"/>
    <col min="211" max="211" width="7.7265625" style="60" customWidth="1"/>
    <col min="212" max="212" width="13.453125" style="60" customWidth="1"/>
    <col min="213" max="213" width="6.453125" style="60" bestFit="1" customWidth="1"/>
    <col min="214" max="214" width="7.54296875" style="60" customWidth="1"/>
    <col min="215" max="222" width="13.453125" style="60" customWidth="1"/>
    <col min="223" max="223" width="11.7265625" style="60" customWidth="1"/>
    <col min="224" max="224" width="9" style="60" bestFit="1" customWidth="1"/>
    <col min="225" max="225" width="13.453125" style="60" customWidth="1"/>
    <col min="226" max="226" width="12.08984375" style="60" bestFit="1" customWidth="1"/>
    <col min="227" max="227" width="15.08984375" style="60" customWidth="1"/>
    <col min="228" max="231" width="13.453125" style="60" customWidth="1"/>
    <col min="232" max="232" width="10.08984375" style="60" customWidth="1"/>
    <col min="233" max="233" width="13.453125" style="60" customWidth="1"/>
    <col min="234" max="234" width="10.54296875" style="60" bestFit="1" customWidth="1"/>
    <col min="235" max="446" width="8.7265625" style="60"/>
    <col min="447" max="447" width="6.7265625" style="60" customWidth="1"/>
    <col min="448" max="448" width="23.54296875" style="60" customWidth="1"/>
    <col min="449" max="449" width="8.36328125" style="60" customWidth="1"/>
    <col min="450" max="453" width="13.453125" style="60" customWidth="1"/>
    <col min="454" max="454" width="5" style="60" customWidth="1"/>
    <col min="455" max="455" width="13.453125" style="60" customWidth="1"/>
    <col min="456" max="456" width="10.08984375" style="60" customWidth="1"/>
    <col min="457" max="465" width="13.453125" style="60" customWidth="1"/>
    <col min="466" max="466" width="7.54296875" style="60" customWidth="1"/>
    <col min="467" max="467" width="7.7265625" style="60" customWidth="1"/>
    <col min="468" max="468" width="13.453125" style="60" customWidth="1"/>
    <col min="469" max="469" width="6.453125" style="60" bestFit="1" customWidth="1"/>
    <col min="470" max="470" width="7.54296875" style="60" customWidth="1"/>
    <col min="471" max="478" width="13.453125" style="60" customWidth="1"/>
    <col min="479" max="479" width="11.7265625" style="60" customWidth="1"/>
    <col min="480" max="480" width="9" style="60" bestFit="1" customWidth="1"/>
    <col min="481" max="481" width="13.453125" style="60" customWidth="1"/>
    <col min="482" max="482" width="12.08984375" style="60" bestFit="1" customWidth="1"/>
    <col min="483" max="483" width="15.08984375" style="60" customWidth="1"/>
    <col min="484" max="487" width="13.453125" style="60" customWidth="1"/>
    <col min="488" max="488" width="10.08984375" style="60" customWidth="1"/>
    <col min="489" max="489" width="13.453125" style="60" customWidth="1"/>
    <col min="490" max="490" width="10.54296875" style="60" bestFit="1" customWidth="1"/>
    <col min="491" max="702" width="8.7265625" style="60"/>
    <col min="703" max="703" width="6.7265625" style="60" customWidth="1"/>
    <col min="704" max="704" width="23.54296875" style="60" customWidth="1"/>
    <col min="705" max="705" width="8.36328125" style="60" customWidth="1"/>
    <col min="706" max="709" width="13.453125" style="60" customWidth="1"/>
    <col min="710" max="710" width="5" style="60" customWidth="1"/>
    <col min="711" max="711" width="13.453125" style="60" customWidth="1"/>
    <col min="712" max="712" width="10.08984375" style="60" customWidth="1"/>
    <col min="713" max="721" width="13.453125" style="60" customWidth="1"/>
    <col min="722" max="722" width="7.54296875" style="60" customWidth="1"/>
    <col min="723" max="723" width="7.7265625" style="60" customWidth="1"/>
    <col min="724" max="724" width="13.453125" style="60" customWidth="1"/>
    <col min="725" max="725" width="6.453125" style="60" bestFit="1" customWidth="1"/>
    <col min="726" max="726" width="7.54296875" style="60" customWidth="1"/>
    <col min="727" max="734" width="13.453125" style="60" customWidth="1"/>
    <col min="735" max="735" width="11.7265625" style="60" customWidth="1"/>
    <col min="736" max="736" width="9" style="60" bestFit="1" customWidth="1"/>
    <col min="737" max="737" width="13.453125" style="60" customWidth="1"/>
    <col min="738" max="738" width="12.08984375" style="60" bestFit="1" customWidth="1"/>
    <col min="739" max="739" width="15.08984375" style="60" customWidth="1"/>
    <col min="740" max="743" width="13.453125" style="60" customWidth="1"/>
    <col min="744" max="744" width="10.08984375" style="60" customWidth="1"/>
    <col min="745" max="745" width="13.453125" style="60" customWidth="1"/>
    <col min="746" max="746" width="10.54296875" style="60" bestFit="1" customWidth="1"/>
    <col min="747" max="958" width="8.7265625" style="60"/>
    <col min="959" max="959" width="6.7265625" style="60" customWidth="1"/>
    <col min="960" max="960" width="23.54296875" style="60" customWidth="1"/>
    <col min="961" max="961" width="8.36328125" style="60" customWidth="1"/>
    <col min="962" max="965" width="13.453125" style="60" customWidth="1"/>
    <col min="966" max="966" width="5" style="60" customWidth="1"/>
    <col min="967" max="967" width="13.453125" style="60" customWidth="1"/>
    <col min="968" max="968" width="10.08984375" style="60" customWidth="1"/>
    <col min="969" max="977" width="13.453125" style="60" customWidth="1"/>
    <col min="978" max="978" width="7.54296875" style="60" customWidth="1"/>
    <col min="979" max="979" width="7.7265625" style="60" customWidth="1"/>
    <col min="980" max="980" width="13.453125" style="60" customWidth="1"/>
    <col min="981" max="981" width="6.453125" style="60" bestFit="1" customWidth="1"/>
    <col min="982" max="982" width="7.54296875" style="60" customWidth="1"/>
    <col min="983" max="990" width="13.453125" style="60" customWidth="1"/>
    <col min="991" max="991" width="11.7265625" style="60" customWidth="1"/>
    <col min="992" max="992" width="9" style="60" bestFit="1" customWidth="1"/>
    <col min="993" max="993" width="13.453125" style="60" customWidth="1"/>
    <col min="994" max="994" width="12.08984375" style="60" bestFit="1" customWidth="1"/>
    <col min="995" max="995" width="15.08984375" style="60" customWidth="1"/>
    <col min="996" max="999" width="13.453125" style="60" customWidth="1"/>
    <col min="1000" max="1000" width="10.08984375" style="60" customWidth="1"/>
    <col min="1001" max="1001" width="13.453125" style="60" customWidth="1"/>
    <col min="1002" max="1002" width="10.54296875" style="60" bestFit="1" customWidth="1"/>
    <col min="1003" max="1214" width="8.7265625" style="60"/>
    <col min="1215" max="1215" width="6.7265625" style="60" customWidth="1"/>
    <col min="1216" max="1216" width="23.54296875" style="60" customWidth="1"/>
    <col min="1217" max="1217" width="8.36328125" style="60" customWidth="1"/>
    <col min="1218" max="1221" width="13.453125" style="60" customWidth="1"/>
    <col min="1222" max="1222" width="5" style="60" customWidth="1"/>
    <col min="1223" max="1223" width="13.453125" style="60" customWidth="1"/>
    <col min="1224" max="1224" width="10.08984375" style="60" customWidth="1"/>
    <col min="1225" max="1233" width="13.453125" style="60" customWidth="1"/>
    <col min="1234" max="1234" width="7.54296875" style="60" customWidth="1"/>
    <col min="1235" max="1235" width="7.7265625" style="60" customWidth="1"/>
    <col min="1236" max="1236" width="13.453125" style="60" customWidth="1"/>
    <col min="1237" max="1237" width="6.453125" style="60" bestFit="1" customWidth="1"/>
    <col min="1238" max="1238" width="7.54296875" style="60" customWidth="1"/>
    <col min="1239" max="1246" width="13.453125" style="60" customWidth="1"/>
    <col min="1247" max="1247" width="11.7265625" style="60" customWidth="1"/>
    <col min="1248" max="1248" width="9" style="60" bestFit="1" customWidth="1"/>
    <col min="1249" max="1249" width="13.453125" style="60" customWidth="1"/>
    <col min="1250" max="1250" width="12.08984375" style="60" bestFit="1" customWidth="1"/>
    <col min="1251" max="1251" width="15.08984375" style="60" customWidth="1"/>
    <col min="1252" max="1255" width="13.453125" style="60" customWidth="1"/>
    <col min="1256" max="1256" width="10.08984375" style="60" customWidth="1"/>
    <col min="1257" max="1257" width="13.453125" style="60" customWidth="1"/>
    <col min="1258" max="1258" width="10.54296875" style="60" bestFit="1" customWidth="1"/>
    <col min="1259" max="1470" width="8.7265625" style="60"/>
    <col min="1471" max="1471" width="6.7265625" style="60" customWidth="1"/>
    <col min="1472" max="1472" width="23.54296875" style="60" customWidth="1"/>
    <col min="1473" max="1473" width="8.36328125" style="60" customWidth="1"/>
    <col min="1474" max="1477" width="13.453125" style="60" customWidth="1"/>
    <col min="1478" max="1478" width="5" style="60" customWidth="1"/>
    <col min="1479" max="1479" width="13.453125" style="60" customWidth="1"/>
    <col min="1480" max="1480" width="10.08984375" style="60" customWidth="1"/>
    <col min="1481" max="1489" width="13.453125" style="60" customWidth="1"/>
    <col min="1490" max="1490" width="7.54296875" style="60" customWidth="1"/>
    <col min="1491" max="1491" width="7.7265625" style="60" customWidth="1"/>
    <col min="1492" max="1492" width="13.453125" style="60" customWidth="1"/>
    <col min="1493" max="1493" width="6.453125" style="60" bestFit="1" customWidth="1"/>
    <col min="1494" max="1494" width="7.54296875" style="60" customWidth="1"/>
    <col min="1495" max="1502" width="13.453125" style="60" customWidth="1"/>
    <col min="1503" max="1503" width="11.7265625" style="60" customWidth="1"/>
    <col min="1504" max="1504" width="9" style="60" bestFit="1" customWidth="1"/>
    <col min="1505" max="1505" width="13.453125" style="60" customWidth="1"/>
    <col min="1506" max="1506" width="12.08984375" style="60" bestFit="1" customWidth="1"/>
    <col min="1507" max="1507" width="15.08984375" style="60" customWidth="1"/>
    <col min="1508" max="1511" width="13.453125" style="60" customWidth="1"/>
    <col min="1512" max="1512" width="10.08984375" style="60" customWidth="1"/>
    <col min="1513" max="1513" width="13.453125" style="60" customWidth="1"/>
    <col min="1514" max="1514" width="10.54296875" style="60" bestFit="1" customWidth="1"/>
    <col min="1515" max="1726" width="8.7265625" style="60"/>
    <col min="1727" max="1727" width="6.7265625" style="60" customWidth="1"/>
    <col min="1728" max="1728" width="23.54296875" style="60" customWidth="1"/>
    <col min="1729" max="1729" width="8.36328125" style="60" customWidth="1"/>
    <col min="1730" max="1733" width="13.453125" style="60" customWidth="1"/>
    <col min="1734" max="1734" width="5" style="60" customWidth="1"/>
    <col min="1735" max="1735" width="13.453125" style="60" customWidth="1"/>
    <col min="1736" max="1736" width="10.08984375" style="60" customWidth="1"/>
    <col min="1737" max="1745" width="13.453125" style="60" customWidth="1"/>
    <col min="1746" max="1746" width="7.54296875" style="60" customWidth="1"/>
    <col min="1747" max="1747" width="7.7265625" style="60" customWidth="1"/>
    <col min="1748" max="1748" width="13.453125" style="60" customWidth="1"/>
    <col min="1749" max="1749" width="6.453125" style="60" bestFit="1" customWidth="1"/>
    <col min="1750" max="1750" width="7.54296875" style="60" customWidth="1"/>
    <col min="1751" max="1758" width="13.453125" style="60" customWidth="1"/>
    <col min="1759" max="1759" width="11.7265625" style="60" customWidth="1"/>
    <col min="1760" max="1760" width="9" style="60" bestFit="1" customWidth="1"/>
    <col min="1761" max="1761" width="13.453125" style="60" customWidth="1"/>
    <col min="1762" max="1762" width="12.08984375" style="60" bestFit="1" customWidth="1"/>
    <col min="1763" max="1763" width="15.08984375" style="60" customWidth="1"/>
    <col min="1764" max="1767" width="13.453125" style="60" customWidth="1"/>
    <col min="1768" max="1768" width="10.08984375" style="60" customWidth="1"/>
    <col min="1769" max="1769" width="13.453125" style="60" customWidth="1"/>
    <col min="1770" max="1770" width="10.54296875" style="60" bestFit="1" customWidth="1"/>
    <col min="1771" max="1982" width="8.7265625" style="60"/>
    <col min="1983" max="1983" width="6.7265625" style="60" customWidth="1"/>
    <col min="1984" max="1984" width="23.54296875" style="60" customWidth="1"/>
    <col min="1985" max="1985" width="8.36328125" style="60" customWidth="1"/>
    <col min="1986" max="1989" width="13.453125" style="60" customWidth="1"/>
    <col min="1990" max="1990" width="5" style="60" customWidth="1"/>
    <col min="1991" max="1991" width="13.453125" style="60" customWidth="1"/>
    <col min="1992" max="1992" width="10.08984375" style="60" customWidth="1"/>
    <col min="1993" max="2001" width="13.453125" style="60" customWidth="1"/>
    <col min="2002" max="2002" width="7.54296875" style="60" customWidth="1"/>
    <col min="2003" max="2003" width="7.7265625" style="60" customWidth="1"/>
    <col min="2004" max="2004" width="13.453125" style="60" customWidth="1"/>
    <col min="2005" max="2005" width="6.453125" style="60" bestFit="1" customWidth="1"/>
    <col min="2006" max="2006" width="7.54296875" style="60" customWidth="1"/>
    <col min="2007" max="2014" width="13.453125" style="60" customWidth="1"/>
    <col min="2015" max="2015" width="11.7265625" style="60" customWidth="1"/>
    <col min="2016" max="2016" width="9" style="60" bestFit="1" customWidth="1"/>
    <col min="2017" max="2017" width="13.453125" style="60" customWidth="1"/>
    <col min="2018" max="2018" width="12.08984375" style="60" bestFit="1" customWidth="1"/>
    <col min="2019" max="2019" width="15.08984375" style="60" customWidth="1"/>
    <col min="2020" max="2023" width="13.453125" style="60" customWidth="1"/>
    <col min="2024" max="2024" width="10.08984375" style="60" customWidth="1"/>
    <col min="2025" max="2025" width="13.453125" style="60" customWidth="1"/>
    <col min="2026" max="2026" width="10.54296875" style="60" bestFit="1" customWidth="1"/>
    <col min="2027" max="2238" width="8.7265625" style="60"/>
    <col min="2239" max="2239" width="6.7265625" style="60" customWidth="1"/>
    <col min="2240" max="2240" width="23.54296875" style="60" customWidth="1"/>
    <col min="2241" max="2241" width="8.36328125" style="60" customWidth="1"/>
    <col min="2242" max="2245" width="13.453125" style="60" customWidth="1"/>
    <col min="2246" max="2246" width="5" style="60" customWidth="1"/>
    <col min="2247" max="2247" width="13.453125" style="60" customWidth="1"/>
    <col min="2248" max="2248" width="10.08984375" style="60" customWidth="1"/>
    <col min="2249" max="2257" width="13.453125" style="60" customWidth="1"/>
    <col min="2258" max="2258" width="7.54296875" style="60" customWidth="1"/>
    <col min="2259" max="2259" width="7.7265625" style="60" customWidth="1"/>
    <col min="2260" max="2260" width="13.453125" style="60" customWidth="1"/>
    <col min="2261" max="2261" width="6.453125" style="60" bestFit="1" customWidth="1"/>
    <col min="2262" max="2262" width="7.54296875" style="60" customWidth="1"/>
    <col min="2263" max="2270" width="13.453125" style="60" customWidth="1"/>
    <col min="2271" max="2271" width="11.7265625" style="60" customWidth="1"/>
    <col min="2272" max="2272" width="9" style="60" bestFit="1" customWidth="1"/>
    <col min="2273" max="2273" width="13.453125" style="60" customWidth="1"/>
    <col min="2274" max="2274" width="12.08984375" style="60" bestFit="1" customWidth="1"/>
    <col min="2275" max="2275" width="15.08984375" style="60" customWidth="1"/>
    <col min="2276" max="2279" width="13.453125" style="60" customWidth="1"/>
    <col min="2280" max="2280" width="10.08984375" style="60" customWidth="1"/>
    <col min="2281" max="2281" width="13.453125" style="60" customWidth="1"/>
    <col min="2282" max="2282" width="10.54296875" style="60" bestFit="1" customWidth="1"/>
    <col min="2283" max="2494" width="8.7265625" style="60"/>
    <col min="2495" max="2495" width="6.7265625" style="60" customWidth="1"/>
    <col min="2496" max="2496" width="23.54296875" style="60" customWidth="1"/>
    <col min="2497" max="2497" width="8.36328125" style="60" customWidth="1"/>
    <col min="2498" max="2501" width="13.453125" style="60" customWidth="1"/>
    <col min="2502" max="2502" width="5" style="60" customWidth="1"/>
    <col min="2503" max="2503" width="13.453125" style="60" customWidth="1"/>
    <col min="2504" max="2504" width="10.08984375" style="60" customWidth="1"/>
    <col min="2505" max="2513" width="13.453125" style="60" customWidth="1"/>
    <col min="2514" max="2514" width="7.54296875" style="60" customWidth="1"/>
    <col min="2515" max="2515" width="7.7265625" style="60" customWidth="1"/>
    <col min="2516" max="2516" width="13.453125" style="60" customWidth="1"/>
    <col min="2517" max="2517" width="6.453125" style="60" bestFit="1" customWidth="1"/>
    <col min="2518" max="2518" width="7.54296875" style="60" customWidth="1"/>
    <col min="2519" max="2526" width="13.453125" style="60" customWidth="1"/>
    <col min="2527" max="2527" width="11.7265625" style="60" customWidth="1"/>
    <col min="2528" max="2528" width="9" style="60" bestFit="1" customWidth="1"/>
    <col min="2529" max="2529" width="13.453125" style="60" customWidth="1"/>
    <col min="2530" max="2530" width="12.08984375" style="60" bestFit="1" customWidth="1"/>
    <col min="2531" max="2531" width="15.08984375" style="60" customWidth="1"/>
    <col min="2532" max="2535" width="13.453125" style="60" customWidth="1"/>
    <col min="2536" max="2536" width="10.08984375" style="60" customWidth="1"/>
    <col min="2537" max="2537" width="13.453125" style="60" customWidth="1"/>
    <col min="2538" max="2538" width="10.54296875" style="60" bestFit="1" customWidth="1"/>
    <col min="2539" max="2750" width="8.7265625" style="60"/>
    <col min="2751" max="2751" width="6.7265625" style="60" customWidth="1"/>
    <col min="2752" max="2752" width="23.54296875" style="60" customWidth="1"/>
    <col min="2753" max="2753" width="8.36328125" style="60" customWidth="1"/>
    <col min="2754" max="2757" width="13.453125" style="60" customWidth="1"/>
    <col min="2758" max="2758" width="5" style="60" customWidth="1"/>
    <col min="2759" max="2759" width="13.453125" style="60" customWidth="1"/>
    <col min="2760" max="2760" width="10.08984375" style="60" customWidth="1"/>
    <col min="2761" max="2769" width="13.453125" style="60" customWidth="1"/>
    <col min="2770" max="2770" width="7.54296875" style="60" customWidth="1"/>
    <col min="2771" max="2771" width="7.7265625" style="60" customWidth="1"/>
    <col min="2772" max="2772" width="13.453125" style="60" customWidth="1"/>
    <col min="2773" max="2773" width="6.453125" style="60" bestFit="1" customWidth="1"/>
    <col min="2774" max="2774" width="7.54296875" style="60" customWidth="1"/>
    <col min="2775" max="2782" width="13.453125" style="60" customWidth="1"/>
    <col min="2783" max="2783" width="11.7265625" style="60" customWidth="1"/>
    <col min="2784" max="2784" width="9" style="60" bestFit="1" customWidth="1"/>
    <col min="2785" max="2785" width="13.453125" style="60" customWidth="1"/>
    <col min="2786" max="2786" width="12.08984375" style="60" bestFit="1" customWidth="1"/>
    <col min="2787" max="2787" width="15.08984375" style="60" customWidth="1"/>
    <col min="2788" max="2791" width="13.453125" style="60" customWidth="1"/>
    <col min="2792" max="2792" width="10.08984375" style="60" customWidth="1"/>
    <col min="2793" max="2793" width="13.453125" style="60" customWidth="1"/>
    <col min="2794" max="2794" width="10.54296875" style="60" bestFit="1" customWidth="1"/>
    <col min="2795" max="3006" width="8.7265625" style="60"/>
    <col min="3007" max="3007" width="6.7265625" style="60" customWidth="1"/>
    <col min="3008" max="3008" width="23.54296875" style="60" customWidth="1"/>
    <col min="3009" max="3009" width="8.36328125" style="60" customWidth="1"/>
    <col min="3010" max="3013" width="13.453125" style="60" customWidth="1"/>
    <col min="3014" max="3014" width="5" style="60" customWidth="1"/>
    <col min="3015" max="3015" width="13.453125" style="60" customWidth="1"/>
    <col min="3016" max="3016" width="10.08984375" style="60" customWidth="1"/>
    <col min="3017" max="3025" width="13.453125" style="60" customWidth="1"/>
    <col min="3026" max="3026" width="7.54296875" style="60" customWidth="1"/>
    <col min="3027" max="3027" width="7.7265625" style="60" customWidth="1"/>
    <col min="3028" max="3028" width="13.453125" style="60" customWidth="1"/>
    <col min="3029" max="3029" width="6.453125" style="60" bestFit="1" customWidth="1"/>
    <col min="3030" max="3030" width="7.54296875" style="60" customWidth="1"/>
    <col min="3031" max="3038" width="13.453125" style="60" customWidth="1"/>
    <col min="3039" max="3039" width="11.7265625" style="60" customWidth="1"/>
    <col min="3040" max="3040" width="9" style="60" bestFit="1" customWidth="1"/>
    <col min="3041" max="3041" width="13.453125" style="60" customWidth="1"/>
    <col min="3042" max="3042" width="12.08984375" style="60" bestFit="1" customWidth="1"/>
    <col min="3043" max="3043" width="15.08984375" style="60" customWidth="1"/>
    <col min="3044" max="3047" width="13.453125" style="60" customWidth="1"/>
    <col min="3048" max="3048" width="10.08984375" style="60" customWidth="1"/>
    <col min="3049" max="3049" width="13.453125" style="60" customWidth="1"/>
    <col min="3050" max="3050" width="10.54296875" style="60" bestFit="1" customWidth="1"/>
    <col min="3051" max="3262" width="8.7265625" style="60"/>
    <col min="3263" max="3263" width="6.7265625" style="60" customWidth="1"/>
    <col min="3264" max="3264" width="23.54296875" style="60" customWidth="1"/>
    <col min="3265" max="3265" width="8.36328125" style="60" customWidth="1"/>
    <col min="3266" max="3269" width="13.453125" style="60" customWidth="1"/>
    <col min="3270" max="3270" width="5" style="60" customWidth="1"/>
    <col min="3271" max="3271" width="13.453125" style="60" customWidth="1"/>
    <col min="3272" max="3272" width="10.08984375" style="60" customWidth="1"/>
    <col min="3273" max="3281" width="13.453125" style="60" customWidth="1"/>
    <col min="3282" max="3282" width="7.54296875" style="60" customWidth="1"/>
    <col min="3283" max="3283" width="7.7265625" style="60" customWidth="1"/>
    <col min="3284" max="3284" width="13.453125" style="60" customWidth="1"/>
    <col min="3285" max="3285" width="6.453125" style="60" bestFit="1" customWidth="1"/>
    <col min="3286" max="3286" width="7.54296875" style="60" customWidth="1"/>
    <col min="3287" max="3294" width="13.453125" style="60" customWidth="1"/>
    <col min="3295" max="3295" width="11.7265625" style="60" customWidth="1"/>
    <col min="3296" max="3296" width="9" style="60" bestFit="1" customWidth="1"/>
    <col min="3297" max="3297" width="13.453125" style="60" customWidth="1"/>
    <col min="3298" max="3298" width="12.08984375" style="60" bestFit="1" customWidth="1"/>
    <col min="3299" max="3299" width="15.08984375" style="60" customWidth="1"/>
    <col min="3300" max="3303" width="13.453125" style="60" customWidth="1"/>
    <col min="3304" max="3304" width="10.08984375" style="60" customWidth="1"/>
    <col min="3305" max="3305" width="13.453125" style="60" customWidth="1"/>
    <col min="3306" max="3306" width="10.54296875" style="60" bestFit="1" customWidth="1"/>
    <col min="3307" max="3518" width="8.7265625" style="60"/>
    <col min="3519" max="3519" width="6.7265625" style="60" customWidth="1"/>
    <col min="3520" max="3520" width="23.54296875" style="60" customWidth="1"/>
    <col min="3521" max="3521" width="8.36328125" style="60" customWidth="1"/>
    <col min="3522" max="3525" width="13.453125" style="60" customWidth="1"/>
    <col min="3526" max="3526" width="5" style="60" customWidth="1"/>
    <col min="3527" max="3527" width="13.453125" style="60" customWidth="1"/>
    <col min="3528" max="3528" width="10.08984375" style="60" customWidth="1"/>
    <col min="3529" max="3537" width="13.453125" style="60" customWidth="1"/>
    <col min="3538" max="3538" width="7.54296875" style="60" customWidth="1"/>
    <col min="3539" max="3539" width="7.7265625" style="60" customWidth="1"/>
    <col min="3540" max="3540" width="13.453125" style="60" customWidth="1"/>
    <col min="3541" max="3541" width="6.453125" style="60" bestFit="1" customWidth="1"/>
    <col min="3542" max="3542" width="7.54296875" style="60" customWidth="1"/>
    <col min="3543" max="3550" width="13.453125" style="60" customWidth="1"/>
    <col min="3551" max="3551" width="11.7265625" style="60" customWidth="1"/>
    <col min="3552" max="3552" width="9" style="60" bestFit="1" customWidth="1"/>
    <col min="3553" max="3553" width="13.453125" style="60" customWidth="1"/>
    <col min="3554" max="3554" width="12.08984375" style="60" bestFit="1" customWidth="1"/>
    <col min="3555" max="3555" width="15.08984375" style="60" customWidth="1"/>
    <col min="3556" max="3559" width="13.453125" style="60" customWidth="1"/>
    <col min="3560" max="3560" width="10.08984375" style="60" customWidth="1"/>
    <col min="3561" max="3561" width="13.453125" style="60" customWidth="1"/>
    <col min="3562" max="3562" width="10.54296875" style="60" bestFit="1" customWidth="1"/>
    <col min="3563" max="3774" width="8.7265625" style="60"/>
    <col min="3775" max="3775" width="6.7265625" style="60" customWidth="1"/>
    <col min="3776" max="3776" width="23.54296875" style="60" customWidth="1"/>
    <col min="3777" max="3777" width="8.36328125" style="60" customWidth="1"/>
    <col min="3778" max="3781" width="13.453125" style="60" customWidth="1"/>
    <col min="3782" max="3782" width="5" style="60" customWidth="1"/>
    <col min="3783" max="3783" width="13.453125" style="60" customWidth="1"/>
    <col min="3784" max="3784" width="10.08984375" style="60" customWidth="1"/>
    <col min="3785" max="3793" width="13.453125" style="60" customWidth="1"/>
    <col min="3794" max="3794" width="7.54296875" style="60" customWidth="1"/>
    <col min="3795" max="3795" width="7.7265625" style="60" customWidth="1"/>
    <col min="3796" max="3796" width="13.453125" style="60" customWidth="1"/>
    <col min="3797" max="3797" width="6.453125" style="60" bestFit="1" customWidth="1"/>
    <col min="3798" max="3798" width="7.54296875" style="60" customWidth="1"/>
    <col min="3799" max="3806" width="13.453125" style="60" customWidth="1"/>
    <col min="3807" max="3807" width="11.7265625" style="60" customWidth="1"/>
    <col min="3808" max="3808" width="9" style="60" bestFit="1" customWidth="1"/>
    <col min="3809" max="3809" width="13.453125" style="60" customWidth="1"/>
    <col min="3810" max="3810" width="12.08984375" style="60" bestFit="1" customWidth="1"/>
    <col min="3811" max="3811" width="15.08984375" style="60" customWidth="1"/>
    <col min="3812" max="3815" width="13.453125" style="60" customWidth="1"/>
    <col min="3816" max="3816" width="10.08984375" style="60" customWidth="1"/>
    <col min="3817" max="3817" width="13.453125" style="60" customWidth="1"/>
    <col min="3818" max="3818" width="10.54296875" style="60" bestFit="1" customWidth="1"/>
    <col min="3819" max="4030" width="8.7265625" style="60"/>
    <col min="4031" max="4031" width="6.7265625" style="60" customWidth="1"/>
    <col min="4032" max="4032" width="23.54296875" style="60" customWidth="1"/>
    <col min="4033" max="4033" width="8.36328125" style="60" customWidth="1"/>
    <col min="4034" max="4037" width="13.453125" style="60" customWidth="1"/>
    <col min="4038" max="4038" width="5" style="60" customWidth="1"/>
    <col min="4039" max="4039" width="13.453125" style="60" customWidth="1"/>
    <col min="4040" max="4040" width="10.08984375" style="60" customWidth="1"/>
    <col min="4041" max="4049" width="13.453125" style="60" customWidth="1"/>
    <col min="4050" max="4050" width="7.54296875" style="60" customWidth="1"/>
    <col min="4051" max="4051" width="7.7265625" style="60" customWidth="1"/>
    <col min="4052" max="4052" width="13.453125" style="60" customWidth="1"/>
    <col min="4053" max="4053" width="6.453125" style="60" bestFit="1" customWidth="1"/>
    <col min="4054" max="4054" width="7.54296875" style="60" customWidth="1"/>
    <col min="4055" max="4062" width="13.453125" style="60" customWidth="1"/>
    <col min="4063" max="4063" width="11.7265625" style="60" customWidth="1"/>
    <col min="4064" max="4064" width="9" style="60" bestFit="1" customWidth="1"/>
    <col min="4065" max="4065" width="13.453125" style="60" customWidth="1"/>
    <col min="4066" max="4066" width="12.08984375" style="60" bestFit="1" customWidth="1"/>
    <col min="4067" max="4067" width="15.08984375" style="60" customWidth="1"/>
    <col min="4068" max="4071" width="13.453125" style="60" customWidth="1"/>
    <col min="4072" max="4072" width="10.08984375" style="60" customWidth="1"/>
    <col min="4073" max="4073" width="13.453125" style="60" customWidth="1"/>
    <col min="4074" max="4074" width="10.54296875" style="60" bestFit="1" customWidth="1"/>
    <col min="4075" max="4286" width="8.7265625" style="60"/>
    <col min="4287" max="4287" width="6.7265625" style="60" customWidth="1"/>
    <col min="4288" max="4288" width="23.54296875" style="60" customWidth="1"/>
    <col min="4289" max="4289" width="8.36328125" style="60" customWidth="1"/>
    <col min="4290" max="4293" width="13.453125" style="60" customWidth="1"/>
    <col min="4294" max="4294" width="5" style="60" customWidth="1"/>
    <col min="4295" max="4295" width="13.453125" style="60" customWidth="1"/>
    <col min="4296" max="4296" width="10.08984375" style="60" customWidth="1"/>
    <col min="4297" max="4305" width="13.453125" style="60" customWidth="1"/>
    <col min="4306" max="4306" width="7.54296875" style="60" customWidth="1"/>
    <col min="4307" max="4307" width="7.7265625" style="60" customWidth="1"/>
    <col min="4308" max="4308" width="13.453125" style="60" customWidth="1"/>
    <col min="4309" max="4309" width="6.453125" style="60" bestFit="1" customWidth="1"/>
    <col min="4310" max="4310" width="7.54296875" style="60" customWidth="1"/>
    <col min="4311" max="4318" width="13.453125" style="60" customWidth="1"/>
    <col min="4319" max="4319" width="11.7265625" style="60" customWidth="1"/>
    <col min="4320" max="4320" width="9" style="60" bestFit="1" customWidth="1"/>
    <col min="4321" max="4321" width="13.453125" style="60" customWidth="1"/>
    <col min="4322" max="4322" width="12.08984375" style="60" bestFit="1" customWidth="1"/>
    <col min="4323" max="4323" width="15.08984375" style="60" customWidth="1"/>
    <col min="4324" max="4327" width="13.453125" style="60" customWidth="1"/>
    <col min="4328" max="4328" width="10.08984375" style="60" customWidth="1"/>
    <col min="4329" max="4329" width="13.453125" style="60" customWidth="1"/>
    <col min="4330" max="4330" width="10.54296875" style="60" bestFit="1" customWidth="1"/>
    <col min="4331" max="4542" width="8.7265625" style="60"/>
    <col min="4543" max="4543" width="6.7265625" style="60" customWidth="1"/>
    <col min="4544" max="4544" width="23.54296875" style="60" customWidth="1"/>
    <col min="4545" max="4545" width="8.36328125" style="60" customWidth="1"/>
    <col min="4546" max="4549" width="13.453125" style="60" customWidth="1"/>
    <col min="4550" max="4550" width="5" style="60" customWidth="1"/>
    <col min="4551" max="4551" width="13.453125" style="60" customWidth="1"/>
    <col min="4552" max="4552" width="10.08984375" style="60" customWidth="1"/>
    <col min="4553" max="4561" width="13.453125" style="60" customWidth="1"/>
    <col min="4562" max="4562" width="7.54296875" style="60" customWidth="1"/>
    <col min="4563" max="4563" width="7.7265625" style="60" customWidth="1"/>
    <col min="4564" max="4564" width="13.453125" style="60" customWidth="1"/>
    <col min="4565" max="4565" width="6.453125" style="60" bestFit="1" customWidth="1"/>
    <col min="4566" max="4566" width="7.54296875" style="60" customWidth="1"/>
    <col min="4567" max="4574" width="13.453125" style="60" customWidth="1"/>
    <col min="4575" max="4575" width="11.7265625" style="60" customWidth="1"/>
    <col min="4576" max="4576" width="9" style="60" bestFit="1" customWidth="1"/>
    <col min="4577" max="4577" width="13.453125" style="60" customWidth="1"/>
    <col min="4578" max="4578" width="12.08984375" style="60" bestFit="1" customWidth="1"/>
    <col min="4579" max="4579" width="15.08984375" style="60" customWidth="1"/>
    <col min="4580" max="4583" width="13.453125" style="60" customWidth="1"/>
    <col min="4584" max="4584" width="10.08984375" style="60" customWidth="1"/>
    <col min="4585" max="4585" width="13.453125" style="60" customWidth="1"/>
    <col min="4586" max="4586" width="10.54296875" style="60" bestFit="1" customWidth="1"/>
    <col min="4587" max="4798" width="8.7265625" style="60"/>
    <col min="4799" max="4799" width="6.7265625" style="60" customWidth="1"/>
    <col min="4800" max="4800" width="23.54296875" style="60" customWidth="1"/>
    <col min="4801" max="4801" width="8.36328125" style="60" customWidth="1"/>
    <col min="4802" max="4805" width="13.453125" style="60" customWidth="1"/>
    <col min="4806" max="4806" width="5" style="60" customWidth="1"/>
    <col min="4807" max="4807" width="13.453125" style="60" customWidth="1"/>
    <col min="4808" max="4808" width="10.08984375" style="60" customWidth="1"/>
    <col min="4809" max="4817" width="13.453125" style="60" customWidth="1"/>
    <col min="4818" max="4818" width="7.54296875" style="60" customWidth="1"/>
    <col min="4819" max="4819" width="7.7265625" style="60" customWidth="1"/>
    <col min="4820" max="4820" width="13.453125" style="60" customWidth="1"/>
    <col min="4821" max="4821" width="6.453125" style="60" bestFit="1" customWidth="1"/>
    <col min="4822" max="4822" width="7.54296875" style="60" customWidth="1"/>
    <col min="4823" max="4830" width="13.453125" style="60" customWidth="1"/>
    <col min="4831" max="4831" width="11.7265625" style="60" customWidth="1"/>
    <col min="4832" max="4832" width="9" style="60" bestFit="1" customWidth="1"/>
    <col min="4833" max="4833" width="13.453125" style="60" customWidth="1"/>
    <col min="4834" max="4834" width="12.08984375" style="60" bestFit="1" customWidth="1"/>
    <col min="4835" max="4835" width="15.08984375" style="60" customWidth="1"/>
    <col min="4836" max="4839" width="13.453125" style="60" customWidth="1"/>
    <col min="4840" max="4840" width="10.08984375" style="60" customWidth="1"/>
    <col min="4841" max="4841" width="13.453125" style="60" customWidth="1"/>
    <col min="4842" max="4842" width="10.54296875" style="60" bestFit="1" customWidth="1"/>
    <col min="4843" max="5054" width="8.7265625" style="60"/>
    <col min="5055" max="5055" width="6.7265625" style="60" customWidth="1"/>
    <col min="5056" max="5056" width="23.54296875" style="60" customWidth="1"/>
    <col min="5057" max="5057" width="8.36328125" style="60" customWidth="1"/>
    <col min="5058" max="5061" width="13.453125" style="60" customWidth="1"/>
    <col min="5062" max="5062" width="5" style="60" customWidth="1"/>
    <col min="5063" max="5063" width="13.453125" style="60" customWidth="1"/>
    <col min="5064" max="5064" width="10.08984375" style="60" customWidth="1"/>
    <col min="5065" max="5073" width="13.453125" style="60" customWidth="1"/>
    <col min="5074" max="5074" width="7.54296875" style="60" customWidth="1"/>
    <col min="5075" max="5075" width="7.7265625" style="60" customWidth="1"/>
    <col min="5076" max="5076" width="13.453125" style="60" customWidth="1"/>
    <col min="5077" max="5077" width="6.453125" style="60" bestFit="1" customWidth="1"/>
    <col min="5078" max="5078" width="7.54296875" style="60" customWidth="1"/>
    <col min="5079" max="5086" width="13.453125" style="60" customWidth="1"/>
    <col min="5087" max="5087" width="11.7265625" style="60" customWidth="1"/>
    <col min="5088" max="5088" width="9" style="60" bestFit="1" customWidth="1"/>
    <col min="5089" max="5089" width="13.453125" style="60" customWidth="1"/>
    <col min="5090" max="5090" width="12.08984375" style="60" bestFit="1" customWidth="1"/>
    <col min="5091" max="5091" width="15.08984375" style="60" customWidth="1"/>
    <col min="5092" max="5095" width="13.453125" style="60" customWidth="1"/>
    <col min="5096" max="5096" width="10.08984375" style="60" customWidth="1"/>
    <col min="5097" max="5097" width="13.453125" style="60" customWidth="1"/>
    <col min="5098" max="5098" width="10.54296875" style="60" bestFit="1" customWidth="1"/>
    <col min="5099" max="5310" width="8.7265625" style="60"/>
    <col min="5311" max="5311" width="6.7265625" style="60" customWidth="1"/>
    <col min="5312" max="5312" width="23.54296875" style="60" customWidth="1"/>
    <col min="5313" max="5313" width="8.36328125" style="60" customWidth="1"/>
    <col min="5314" max="5317" width="13.453125" style="60" customWidth="1"/>
    <col min="5318" max="5318" width="5" style="60" customWidth="1"/>
    <col min="5319" max="5319" width="13.453125" style="60" customWidth="1"/>
    <col min="5320" max="5320" width="10.08984375" style="60" customWidth="1"/>
    <col min="5321" max="5329" width="13.453125" style="60" customWidth="1"/>
    <col min="5330" max="5330" width="7.54296875" style="60" customWidth="1"/>
    <col min="5331" max="5331" width="7.7265625" style="60" customWidth="1"/>
    <col min="5332" max="5332" width="13.453125" style="60" customWidth="1"/>
    <col min="5333" max="5333" width="6.453125" style="60" bestFit="1" customWidth="1"/>
    <col min="5334" max="5334" width="7.54296875" style="60" customWidth="1"/>
    <col min="5335" max="5342" width="13.453125" style="60" customWidth="1"/>
    <col min="5343" max="5343" width="11.7265625" style="60" customWidth="1"/>
    <col min="5344" max="5344" width="9" style="60" bestFit="1" customWidth="1"/>
    <col min="5345" max="5345" width="13.453125" style="60" customWidth="1"/>
    <col min="5346" max="5346" width="12.08984375" style="60" bestFit="1" customWidth="1"/>
    <col min="5347" max="5347" width="15.08984375" style="60" customWidth="1"/>
    <col min="5348" max="5351" width="13.453125" style="60" customWidth="1"/>
    <col min="5352" max="5352" width="10.08984375" style="60" customWidth="1"/>
    <col min="5353" max="5353" width="13.453125" style="60" customWidth="1"/>
    <col min="5354" max="5354" width="10.54296875" style="60" bestFit="1" customWidth="1"/>
    <col min="5355" max="5566" width="8.7265625" style="60"/>
    <col min="5567" max="5567" width="6.7265625" style="60" customWidth="1"/>
    <col min="5568" max="5568" width="23.54296875" style="60" customWidth="1"/>
    <col min="5569" max="5569" width="8.36328125" style="60" customWidth="1"/>
    <col min="5570" max="5573" width="13.453125" style="60" customWidth="1"/>
    <col min="5574" max="5574" width="5" style="60" customWidth="1"/>
    <col min="5575" max="5575" width="13.453125" style="60" customWidth="1"/>
    <col min="5576" max="5576" width="10.08984375" style="60" customWidth="1"/>
    <col min="5577" max="5585" width="13.453125" style="60" customWidth="1"/>
    <col min="5586" max="5586" width="7.54296875" style="60" customWidth="1"/>
    <col min="5587" max="5587" width="7.7265625" style="60" customWidth="1"/>
    <col min="5588" max="5588" width="13.453125" style="60" customWidth="1"/>
    <col min="5589" max="5589" width="6.453125" style="60" bestFit="1" customWidth="1"/>
    <col min="5590" max="5590" width="7.54296875" style="60" customWidth="1"/>
    <col min="5591" max="5598" width="13.453125" style="60" customWidth="1"/>
    <col min="5599" max="5599" width="11.7265625" style="60" customWidth="1"/>
    <col min="5600" max="5600" width="9" style="60" bestFit="1" customWidth="1"/>
    <col min="5601" max="5601" width="13.453125" style="60" customWidth="1"/>
    <col min="5602" max="5602" width="12.08984375" style="60" bestFit="1" customWidth="1"/>
    <col min="5603" max="5603" width="15.08984375" style="60" customWidth="1"/>
    <col min="5604" max="5607" width="13.453125" style="60" customWidth="1"/>
    <col min="5608" max="5608" width="10.08984375" style="60" customWidth="1"/>
    <col min="5609" max="5609" width="13.453125" style="60" customWidth="1"/>
    <col min="5610" max="5610" width="10.54296875" style="60" bestFit="1" customWidth="1"/>
    <col min="5611" max="5822" width="8.7265625" style="60"/>
    <col min="5823" max="5823" width="6.7265625" style="60" customWidth="1"/>
    <col min="5824" max="5824" width="23.54296875" style="60" customWidth="1"/>
    <col min="5825" max="5825" width="8.36328125" style="60" customWidth="1"/>
    <col min="5826" max="5829" width="13.453125" style="60" customWidth="1"/>
    <col min="5830" max="5830" width="5" style="60" customWidth="1"/>
    <col min="5831" max="5831" width="13.453125" style="60" customWidth="1"/>
    <col min="5832" max="5832" width="10.08984375" style="60" customWidth="1"/>
    <col min="5833" max="5841" width="13.453125" style="60" customWidth="1"/>
    <col min="5842" max="5842" width="7.54296875" style="60" customWidth="1"/>
    <col min="5843" max="5843" width="7.7265625" style="60" customWidth="1"/>
    <col min="5844" max="5844" width="13.453125" style="60" customWidth="1"/>
    <col min="5845" max="5845" width="6.453125" style="60" bestFit="1" customWidth="1"/>
    <col min="5846" max="5846" width="7.54296875" style="60" customWidth="1"/>
    <col min="5847" max="5854" width="13.453125" style="60" customWidth="1"/>
    <col min="5855" max="5855" width="11.7265625" style="60" customWidth="1"/>
    <col min="5856" max="5856" width="9" style="60" bestFit="1" customWidth="1"/>
    <col min="5857" max="5857" width="13.453125" style="60" customWidth="1"/>
    <col min="5858" max="5858" width="12.08984375" style="60" bestFit="1" customWidth="1"/>
    <col min="5859" max="5859" width="15.08984375" style="60" customWidth="1"/>
    <col min="5860" max="5863" width="13.453125" style="60" customWidth="1"/>
    <col min="5864" max="5864" width="10.08984375" style="60" customWidth="1"/>
    <col min="5865" max="5865" width="13.453125" style="60" customWidth="1"/>
    <col min="5866" max="5866" width="10.54296875" style="60" bestFit="1" customWidth="1"/>
    <col min="5867" max="6078" width="8.7265625" style="60"/>
    <col min="6079" max="6079" width="6.7265625" style="60" customWidth="1"/>
    <col min="6080" max="6080" width="23.54296875" style="60" customWidth="1"/>
    <col min="6081" max="6081" width="8.36328125" style="60" customWidth="1"/>
    <col min="6082" max="6085" width="13.453125" style="60" customWidth="1"/>
    <col min="6086" max="6086" width="5" style="60" customWidth="1"/>
    <col min="6087" max="6087" width="13.453125" style="60" customWidth="1"/>
    <col min="6088" max="6088" width="10.08984375" style="60" customWidth="1"/>
    <col min="6089" max="6097" width="13.453125" style="60" customWidth="1"/>
    <col min="6098" max="6098" width="7.54296875" style="60" customWidth="1"/>
    <col min="6099" max="6099" width="7.7265625" style="60" customWidth="1"/>
    <col min="6100" max="6100" width="13.453125" style="60" customWidth="1"/>
    <col min="6101" max="6101" width="6.453125" style="60" bestFit="1" customWidth="1"/>
    <col min="6102" max="6102" width="7.54296875" style="60" customWidth="1"/>
    <col min="6103" max="6110" width="13.453125" style="60" customWidth="1"/>
    <col min="6111" max="6111" width="11.7265625" style="60" customWidth="1"/>
    <col min="6112" max="6112" width="9" style="60" bestFit="1" customWidth="1"/>
    <col min="6113" max="6113" width="13.453125" style="60" customWidth="1"/>
    <col min="6114" max="6114" width="12.08984375" style="60" bestFit="1" customWidth="1"/>
    <col min="6115" max="6115" width="15.08984375" style="60" customWidth="1"/>
    <col min="6116" max="6119" width="13.453125" style="60" customWidth="1"/>
    <col min="6120" max="6120" width="10.08984375" style="60" customWidth="1"/>
    <col min="6121" max="6121" width="13.453125" style="60" customWidth="1"/>
    <col min="6122" max="6122" width="10.54296875" style="60" bestFit="1" customWidth="1"/>
    <col min="6123" max="6334" width="8.7265625" style="60"/>
    <col min="6335" max="6335" width="6.7265625" style="60" customWidth="1"/>
    <col min="6336" max="6336" width="23.54296875" style="60" customWidth="1"/>
    <col min="6337" max="6337" width="8.36328125" style="60" customWidth="1"/>
    <col min="6338" max="6341" width="13.453125" style="60" customWidth="1"/>
    <col min="6342" max="6342" width="5" style="60" customWidth="1"/>
    <col min="6343" max="6343" width="13.453125" style="60" customWidth="1"/>
    <col min="6344" max="6344" width="10.08984375" style="60" customWidth="1"/>
    <col min="6345" max="6353" width="13.453125" style="60" customWidth="1"/>
    <col min="6354" max="6354" width="7.54296875" style="60" customWidth="1"/>
    <col min="6355" max="6355" width="7.7265625" style="60" customWidth="1"/>
    <col min="6356" max="6356" width="13.453125" style="60" customWidth="1"/>
    <col min="6357" max="6357" width="6.453125" style="60" bestFit="1" customWidth="1"/>
    <col min="6358" max="6358" width="7.54296875" style="60" customWidth="1"/>
    <col min="6359" max="6366" width="13.453125" style="60" customWidth="1"/>
    <col min="6367" max="6367" width="11.7265625" style="60" customWidth="1"/>
    <col min="6368" max="6368" width="9" style="60" bestFit="1" customWidth="1"/>
    <col min="6369" max="6369" width="13.453125" style="60" customWidth="1"/>
    <col min="6370" max="6370" width="12.08984375" style="60" bestFit="1" customWidth="1"/>
    <col min="6371" max="6371" width="15.08984375" style="60" customWidth="1"/>
    <col min="6372" max="6375" width="13.453125" style="60" customWidth="1"/>
    <col min="6376" max="6376" width="10.08984375" style="60" customWidth="1"/>
    <col min="6377" max="6377" width="13.453125" style="60" customWidth="1"/>
    <col min="6378" max="6378" width="10.54296875" style="60" bestFit="1" customWidth="1"/>
    <col min="6379" max="6590" width="8.7265625" style="60"/>
    <col min="6591" max="6591" width="6.7265625" style="60" customWidth="1"/>
    <col min="6592" max="6592" width="23.54296875" style="60" customWidth="1"/>
    <col min="6593" max="6593" width="8.36328125" style="60" customWidth="1"/>
    <col min="6594" max="6597" width="13.453125" style="60" customWidth="1"/>
    <col min="6598" max="6598" width="5" style="60" customWidth="1"/>
    <col min="6599" max="6599" width="13.453125" style="60" customWidth="1"/>
    <col min="6600" max="6600" width="10.08984375" style="60" customWidth="1"/>
    <col min="6601" max="6609" width="13.453125" style="60" customWidth="1"/>
    <col min="6610" max="6610" width="7.54296875" style="60" customWidth="1"/>
    <col min="6611" max="6611" width="7.7265625" style="60" customWidth="1"/>
    <col min="6612" max="6612" width="13.453125" style="60" customWidth="1"/>
    <col min="6613" max="6613" width="6.453125" style="60" bestFit="1" customWidth="1"/>
    <col min="6614" max="6614" width="7.54296875" style="60" customWidth="1"/>
    <col min="6615" max="6622" width="13.453125" style="60" customWidth="1"/>
    <col min="6623" max="6623" width="11.7265625" style="60" customWidth="1"/>
    <col min="6624" max="6624" width="9" style="60" bestFit="1" customWidth="1"/>
    <col min="6625" max="6625" width="13.453125" style="60" customWidth="1"/>
    <col min="6626" max="6626" width="12.08984375" style="60" bestFit="1" customWidth="1"/>
    <col min="6627" max="6627" width="15.08984375" style="60" customWidth="1"/>
    <col min="6628" max="6631" width="13.453125" style="60" customWidth="1"/>
    <col min="6632" max="6632" width="10.08984375" style="60" customWidth="1"/>
    <col min="6633" max="6633" width="13.453125" style="60" customWidth="1"/>
    <col min="6634" max="6634" width="10.54296875" style="60" bestFit="1" customWidth="1"/>
    <col min="6635" max="6846" width="8.7265625" style="60"/>
    <col min="6847" max="6847" width="6.7265625" style="60" customWidth="1"/>
    <col min="6848" max="6848" width="23.54296875" style="60" customWidth="1"/>
    <col min="6849" max="6849" width="8.36328125" style="60" customWidth="1"/>
    <col min="6850" max="6853" width="13.453125" style="60" customWidth="1"/>
    <col min="6854" max="6854" width="5" style="60" customWidth="1"/>
    <col min="6855" max="6855" width="13.453125" style="60" customWidth="1"/>
    <col min="6856" max="6856" width="10.08984375" style="60" customWidth="1"/>
    <col min="6857" max="6865" width="13.453125" style="60" customWidth="1"/>
    <col min="6866" max="6866" width="7.54296875" style="60" customWidth="1"/>
    <col min="6867" max="6867" width="7.7265625" style="60" customWidth="1"/>
    <col min="6868" max="6868" width="13.453125" style="60" customWidth="1"/>
    <col min="6869" max="6869" width="6.453125" style="60" bestFit="1" customWidth="1"/>
    <col min="6870" max="6870" width="7.54296875" style="60" customWidth="1"/>
    <col min="6871" max="6878" width="13.453125" style="60" customWidth="1"/>
    <col min="6879" max="6879" width="11.7265625" style="60" customWidth="1"/>
    <col min="6880" max="6880" width="9" style="60" bestFit="1" customWidth="1"/>
    <col min="6881" max="6881" width="13.453125" style="60" customWidth="1"/>
    <col min="6882" max="6882" width="12.08984375" style="60" bestFit="1" customWidth="1"/>
    <col min="6883" max="6883" width="15.08984375" style="60" customWidth="1"/>
    <col min="6884" max="6887" width="13.453125" style="60" customWidth="1"/>
    <col min="6888" max="6888" width="10.08984375" style="60" customWidth="1"/>
    <col min="6889" max="6889" width="13.453125" style="60" customWidth="1"/>
    <col min="6890" max="6890" width="10.54296875" style="60" bestFit="1" customWidth="1"/>
    <col min="6891" max="7102" width="8.7265625" style="60"/>
    <col min="7103" max="7103" width="6.7265625" style="60" customWidth="1"/>
    <col min="7104" max="7104" width="23.54296875" style="60" customWidth="1"/>
    <col min="7105" max="7105" width="8.36328125" style="60" customWidth="1"/>
    <col min="7106" max="7109" width="13.453125" style="60" customWidth="1"/>
    <col min="7110" max="7110" width="5" style="60" customWidth="1"/>
    <col min="7111" max="7111" width="13.453125" style="60" customWidth="1"/>
    <col min="7112" max="7112" width="10.08984375" style="60" customWidth="1"/>
    <col min="7113" max="7121" width="13.453125" style="60" customWidth="1"/>
    <col min="7122" max="7122" width="7.54296875" style="60" customWidth="1"/>
    <col min="7123" max="7123" width="7.7265625" style="60" customWidth="1"/>
    <col min="7124" max="7124" width="13.453125" style="60" customWidth="1"/>
    <col min="7125" max="7125" width="6.453125" style="60" bestFit="1" customWidth="1"/>
    <col min="7126" max="7126" width="7.54296875" style="60" customWidth="1"/>
    <col min="7127" max="7134" width="13.453125" style="60" customWidth="1"/>
    <col min="7135" max="7135" width="11.7265625" style="60" customWidth="1"/>
    <col min="7136" max="7136" width="9" style="60" bestFit="1" customWidth="1"/>
    <col min="7137" max="7137" width="13.453125" style="60" customWidth="1"/>
    <col min="7138" max="7138" width="12.08984375" style="60" bestFit="1" customWidth="1"/>
    <col min="7139" max="7139" width="15.08984375" style="60" customWidth="1"/>
    <col min="7140" max="7143" width="13.453125" style="60" customWidth="1"/>
    <col min="7144" max="7144" width="10.08984375" style="60" customWidth="1"/>
    <col min="7145" max="7145" width="13.453125" style="60" customWidth="1"/>
    <col min="7146" max="7146" width="10.54296875" style="60" bestFit="1" customWidth="1"/>
    <col min="7147" max="7358" width="8.7265625" style="60"/>
    <col min="7359" max="7359" width="6.7265625" style="60" customWidth="1"/>
    <col min="7360" max="7360" width="23.54296875" style="60" customWidth="1"/>
    <col min="7361" max="7361" width="8.36328125" style="60" customWidth="1"/>
    <col min="7362" max="7365" width="13.453125" style="60" customWidth="1"/>
    <col min="7366" max="7366" width="5" style="60" customWidth="1"/>
    <col min="7367" max="7367" width="13.453125" style="60" customWidth="1"/>
    <col min="7368" max="7368" width="10.08984375" style="60" customWidth="1"/>
    <col min="7369" max="7377" width="13.453125" style="60" customWidth="1"/>
    <col min="7378" max="7378" width="7.54296875" style="60" customWidth="1"/>
    <col min="7379" max="7379" width="7.7265625" style="60" customWidth="1"/>
    <col min="7380" max="7380" width="13.453125" style="60" customWidth="1"/>
    <col min="7381" max="7381" width="6.453125" style="60" bestFit="1" customWidth="1"/>
    <col min="7382" max="7382" width="7.54296875" style="60" customWidth="1"/>
    <col min="7383" max="7390" width="13.453125" style="60" customWidth="1"/>
    <col min="7391" max="7391" width="11.7265625" style="60" customWidth="1"/>
    <col min="7392" max="7392" width="9" style="60" bestFit="1" customWidth="1"/>
    <col min="7393" max="7393" width="13.453125" style="60" customWidth="1"/>
    <col min="7394" max="7394" width="12.08984375" style="60" bestFit="1" customWidth="1"/>
    <col min="7395" max="7395" width="15.08984375" style="60" customWidth="1"/>
    <col min="7396" max="7399" width="13.453125" style="60" customWidth="1"/>
    <col min="7400" max="7400" width="10.08984375" style="60" customWidth="1"/>
    <col min="7401" max="7401" width="13.453125" style="60" customWidth="1"/>
    <col min="7402" max="7402" width="10.54296875" style="60" bestFit="1" customWidth="1"/>
    <col min="7403" max="7614" width="8.7265625" style="60"/>
    <col min="7615" max="7615" width="6.7265625" style="60" customWidth="1"/>
    <col min="7616" max="7616" width="23.54296875" style="60" customWidth="1"/>
    <col min="7617" max="7617" width="8.36328125" style="60" customWidth="1"/>
    <col min="7618" max="7621" width="13.453125" style="60" customWidth="1"/>
    <col min="7622" max="7622" width="5" style="60" customWidth="1"/>
    <col min="7623" max="7623" width="13.453125" style="60" customWidth="1"/>
    <col min="7624" max="7624" width="10.08984375" style="60" customWidth="1"/>
    <col min="7625" max="7633" width="13.453125" style="60" customWidth="1"/>
    <col min="7634" max="7634" width="7.54296875" style="60" customWidth="1"/>
    <col min="7635" max="7635" width="7.7265625" style="60" customWidth="1"/>
    <col min="7636" max="7636" width="13.453125" style="60" customWidth="1"/>
    <col min="7637" max="7637" width="6.453125" style="60" bestFit="1" customWidth="1"/>
    <col min="7638" max="7638" width="7.54296875" style="60" customWidth="1"/>
    <col min="7639" max="7646" width="13.453125" style="60" customWidth="1"/>
    <col min="7647" max="7647" width="11.7265625" style="60" customWidth="1"/>
    <col min="7648" max="7648" width="9" style="60" bestFit="1" customWidth="1"/>
    <col min="7649" max="7649" width="13.453125" style="60" customWidth="1"/>
    <col min="7650" max="7650" width="12.08984375" style="60" bestFit="1" customWidth="1"/>
    <col min="7651" max="7651" width="15.08984375" style="60" customWidth="1"/>
    <col min="7652" max="7655" width="13.453125" style="60" customWidth="1"/>
    <col min="7656" max="7656" width="10.08984375" style="60" customWidth="1"/>
    <col min="7657" max="7657" width="13.453125" style="60" customWidth="1"/>
    <col min="7658" max="7658" width="10.54296875" style="60" bestFit="1" customWidth="1"/>
    <col min="7659" max="7870" width="8.7265625" style="60"/>
    <col min="7871" max="7871" width="6.7265625" style="60" customWidth="1"/>
    <col min="7872" max="7872" width="23.54296875" style="60" customWidth="1"/>
    <col min="7873" max="7873" width="8.36328125" style="60" customWidth="1"/>
    <col min="7874" max="7877" width="13.453125" style="60" customWidth="1"/>
    <col min="7878" max="7878" width="5" style="60" customWidth="1"/>
    <col min="7879" max="7879" width="13.453125" style="60" customWidth="1"/>
    <col min="7880" max="7880" width="10.08984375" style="60" customWidth="1"/>
    <col min="7881" max="7889" width="13.453125" style="60" customWidth="1"/>
    <col min="7890" max="7890" width="7.54296875" style="60" customWidth="1"/>
    <col min="7891" max="7891" width="7.7265625" style="60" customWidth="1"/>
    <col min="7892" max="7892" width="13.453125" style="60" customWidth="1"/>
    <col min="7893" max="7893" width="6.453125" style="60" bestFit="1" customWidth="1"/>
    <col min="7894" max="7894" width="7.54296875" style="60" customWidth="1"/>
    <col min="7895" max="7902" width="13.453125" style="60" customWidth="1"/>
    <col min="7903" max="7903" width="11.7265625" style="60" customWidth="1"/>
    <col min="7904" max="7904" width="9" style="60" bestFit="1" customWidth="1"/>
    <col min="7905" max="7905" width="13.453125" style="60" customWidth="1"/>
    <col min="7906" max="7906" width="12.08984375" style="60" bestFit="1" customWidth="1"/>
    <col min="7907" max="7907" width="15.08984375" style="60" customWidth="1"/>
    <col min="7908" max="7911" width="13.453125" style="60" customWidth="1"/>
    <col min="7912" max="7912" width="10.08984375" style="60" customWidth="1"/>
    <col min="7913" max="7913" width="13.453125" style="60" customWidth="1"/>
    <col min="7914" max="7914" width="10.54296875" style="60" bestFit="1" customWidth="1"/>
    <col min="7915" max="8126" width="8.7265625" style="60"/>
    <col min="8127" max="8127" width="6.7265625" style="60" customWidth="1"/>
    <col min="8128" max="8128" width="23.54296875" style="60" customWidth="1"/>
    <col min="8129" max="8129" width="8.36328125" style="60" customWidth="1"/>
    <col min="8130" max="8133" width="13.453125" style="60" customWidth="1"/>
    <col min="8134" max="8134" width="5" style="60" customWidth="1"/>
    <col min="8135" max="8135" width="13.453125" style="60" customWidth="1"/>
    <col min="8136" max="8136" width="10.08984375" style="60" customWidth="1"/>
    <col min="8137" max="8145" width="13.453125" style="60" customWidth="1"/>
    <col min="8146" max="8146" width="7.54296875" style="60" customWidth="1"/>
    <col min="8147" max="8147" width="7.7265625" style="60" customWidth="1"/>
    <col min="8148" max="8148" width="13.453125" style="60" customWidth="1"/>
    <col min="8149" max="8149" width="6.453125" style="60" bestFit="1" customWidth="1"/>
    <col min="8150" max="8150" width="7.54296875" style="60" customWidth="1"/>
    <col min="8151" max="8158" width="13.453125" style="60" customWidth="1"/>
    <col min="8159" max="8159" width="11.7265625" style="60" customWidth="1"/>
    <col min="8160" max="8160" width="9" style="60" bestFit="1" customWidth="1"/>
    <col min="8161" max="8161" width="13.453125" style="60" customWidth="1"/>
    <col min="8162" max="8162" width="12.08984375" style="60" bestFit="1" customWidth="1"/>
    <col min="8163" max="8163" width="15.08984375" style="60" customWidth="1"/>
    <col min="8164" max="8167" width="13.453125" style="60" customWidth="1"/>
    <col min="8168" max="8168" width="10.08984375" style="60" customWidth="1"/>
    <col min="8169" max="8169" width="13.453125" style="60" customWidth="1"/>
    <col min="8170" max="8170" width="10.54296875" style="60" bestFit="1" customWidth="1"/>
    <col min="8171" max="8382" width="8.7265625" style="60"/>
    <col min="8383" max="8383" width="6.7265625" style="60" customWidth="1"/>
    <col min="8384" max="8384" width="23.54296875" style="60" customWidth="1"/>
    <col min="8385" max="8385" width="8.36328125" style="60" customWidth="1"/>
    <col min="8386" max="8389" width="13.453125" style="60" customWidth="1"/>
    <col min="8390" max="8390" width="5" style="60" customWidth="1"/>
    <col min="8391" max="8391" width="13.453125" style="60" customWidth="1"/>
    <col min="8392" max="8392" width="10.08984375" style="60" customWidth="1"/>
    <col min="8393" max="8401" width="13.453125" style="60" customWidth="1"/>
    <col min="8402" max="8402" width="7.54296875" style="60" customWidth="1"/>
    <col min="8403" max="8403" width="7.7265625" style="60" customWidth="1"/>
    <col min="8404" max="8404" width="13.453125" style="60" customWidth="1"/>
    <col min="8405" max="8405" width="6.453125" style="60" bestFit="1" customWidth="1"/>
    <col min="8406" max="8406" width="7.54296875" style="60" customWidth="1"/>
    <col min="8407" max="8414" width="13.453125" style="60" customWidth="1"/>
    <col min="8415" max="8415" width="11.7265625" style="60" customWidth="1"/>
    <col min="8416" max="8416" width="9" style="60" bestFit="1" customWidth="1"/>
    <col min="8417" max="8417" width="13.453125" style="60" customWidth="1"/>
    <col min="8418" max="8418" width="12.08984375" style="60" bestFit="1" customWidth="1"/>
    <col min="8419" max="8419" width="15.08984375" style="60" customWidth="1"/>
    <col min="8420" max="8423" width="13.453125" style="60" customWidth="1"/>
    <col min="8424" max="8424" width="10.08984375" style="60" customWidth="1"/>
    <col min="8425" max="8425" width="13.453125" style="60" customWidth="1"/>
    <col min="8426" max="8426" width="10.54296875" style="60" bestFit="1" customWidth="1"/>
    <col min="8427" max="8638" width="8.7265625" style="60"/>
    <col min="8639" max="8639" width="6.7265625" style="60" customWidth="1"/>
    <col min="8640" max="8640" width="23.54296875" style="60" customWidth="1"/>
    <col min="8641" max="8641" width="8.36328125" style="60" customWidth="1"/>
    <col min="8642" max="8645" width="13.453125" style="60" customWidth="1"/>
    <col min="8646" max="8646" width="5" style="60" customWidth="1"/>
    <col min="8647" max="8647" width="13.453125" style="60" customWidth="1"/>
    <col min="8648" max="8648" width="10.08984375" style="60" customWidth="1"/>
    <col min="8649" max="8657" width="13.453125" style="60" customWidth="1"/>
    <col min="8658" max="8658" width="7.54296875" style="60" customWidth="1"/>
    <col min="8659" max="8659" width="7.7265625" style="60" customWidth="1"/>
    <col min="8660" max="8660" width="13.453125" style="60" customWidth="1"/>
    <col min="8661" max="8661" width="6.453125" style="60" bestFit="1" customWidth="1"/>
    <col min="8662" max="8662" width="7.54296875" style="60" customWidth="1"/>
    <col min="8663" max="8670" width="13.453125" style="60" customWidth="1"/>
    <col min="8671" max="8671" width="11.7265625" style="60" customWidth="1"/>
    <col min="8672" max="8672" width="9" style="60" bestFit="1" customWidth="1"/>
    <col min="8673" max="8673" width="13.453125" style="60" customWidth="1"/>
    <col min="8674" max="8674" width="12.08984375" style="60" bestFit="1" customWidth="1"/>
    <col min="8675" max="8675" width="15.08984375" style="60" customWidth="1"/>
    <col min="8676" max="8679" width="13.453125" style="60" customWidth="1"/>
    <col min="8680" max="8680" width="10.08984375" style="60" customWidth="1"/>
    <col min="8681" max="8681" width="13.453125" style="60" customWidth="1"/>
    <col min="8682" max="8682" width="10.54296875" style="60" bestFit="1" customWidth="1"/>
    <col min="8683" max="8894" width="8.7265625" style="60"/>
    <col min="8895" max="8895" width="6.7265625" style="60" customWidth="1"/>
    <col min="8896" max="8896" width="23.54296875" style="60" customWidth="1"/>
    <col min="8897" max="8897" width="8.36328125" style="60" customWidth="1"/>
    <col min="8898" max="8901" width="13.453125" style="60" customWidth="1"/>
    <col min="8902" max="8902" width="5" style="60" customWidth="1"/>
    <col min="8903" max="8903" width="13.453125" style="60" customWidth="1"/>
    <col min="8904" max="8904" width="10.08984375" style="60" customWidth="1"/>
    <col min="8905" max="8913" width="13.453125" style="60" customWidth="1"/>
    <col min="8914" max="8914" width="7.54296875" style="60" customWidth="1"/>
    <col min="8915" max="8915" width="7.7265625" style="60" customWidth="1"/>
    <col min="8916" max="8916" width="13.453125" style="60" customWidth="1"/>
    <col min="8917" max="8917" width="6.453125" style="60" bestFit="1" customWidth="1"/>
    <col min="8918" max="8918" width="7.54296875" style="60" customWidth="1"/>
    <col min="8919" max="8926" width="13.453125" style="60" customWidth="1"/>
    <col min="8927" max="8927" width="11.7265625" style="60" customWidth="1"/>
    <col min="8928" max="8928" width="9" style="60" bestFit="1" customWidth="1"/>
    <col min="8929" max="8929" width="13.453125" style="60" customWidth="1"/>
    <col min="8930" max="8930" width="12.08984375" style="60" bestFit="1" customWidth="1"/>
    <col min="8931" max="8931" width="15.08984375" style="60" customWidth="1"/>
    <col min="8932" max="8935" width="13.453125" style="60" customWidth="1"/>
    <col min="8936" max="8936" width="10.08984375" style="60" customWidth="1"/>
    <col min="8937" max="8937" width="13.453125" style="60" customWidth="1"/>
    <col min="8938" max="8938" width="10.54296875" style="60" bestFit="1" customWidth="1"/>
    <col min="8939" max="9150" width="8.7265625" style="60"/>
    <col min="9151" max="9151" width="6.7265625" style="60" customWidth="1"/>
    <col min="9152" max="9152" width="23.54296875" style="60" customWidth="1"/>
    <col min="9153" max="9153" width="8.36328125" style="60" customWidth="1"/>
    <col min="9154" max="9157" width="13.453125" style="60" customWidth="1"/>
    <col min="9158" max="9158" width="5" style="60" customWidth="1"/>
    <col min="9159" max="9159" width="13.453125" style="60" customWidth="1"/>
    <col min="9160" max="9160" width="10.08984375" style="60" customWidth="1"/>
    <col min="9161" max="9169" width="13.453125" style="60" customWidth="1"/>
    <col min="9170" max="9170" width="7.54296875" style="60" customWidth="1"/>
    <col min="9171" max="9171" width="7.7265625" style="60" customWidth="1"/>
    <col min="9172" max="9172" width="13.453125" style="60" customWidth="1"/>
    <col min="9173" max="9173" width="6.453125" style="60" bestFit="1" customWidth="1"/>
    <col min="9174" max="9174" width="7.54296875" style="60" customWidth="1"/>
    <col min="9175" max="9182" width="13.453125" style="60" customWidth="1"/>
    <col min="9183" max="9183" width="11.7265625" style="60" customWidth="1"/>
    <col min="9184" max="9184" width="9" style="60" bestFit="1" customWidth="1"/>
    <col min="9185" max="9185" width="13.453125" style="60" customWidth="1"/>
    <col min="9186" max="9186" width="12.08984375" style="60" bestFit="1" customWidth="1"/>
    <col min="9187" max="9187" width="15.08984375" style="60" customWidth="1"/>
    <col min="9188" max="9191" width="13.453125" style="60" customWidth="1"/>
    <col min="9192" max="9192" width="10.08984375" style="60" customWidth="1"/>
    <col min="9193" max="9193" width="13.453125" style="60" customWidth="1"/>
    <col min="9194" max="9194" width="10.54296875" style="60" bestFit="1" customWidth="1"/>
    <col min="9195" max="9406" width="8.7265625" style="60"/>
    <col min="9407" max="9407" width="6.7265625" style="60" customWidth="1"/>
    <col min="9408" max="9408" width="23.54296875" style="60" customWidth="1"/>
    <col min="9409" max="9409" width="8.36328125" style="60" customWidth="1"/>
    <col min="9410" max="9413" width="13.453125" style="60" customWidth="1"/>
    <col min="9414" max="9414" width="5" style="60" customWidth="1"/>
    <col min="9415" max="9415" width="13.453125" style="60" customWidth="1"/>
    <col min="9416" max="9416" width="10.08984375" style="60" customWidth="1"/>
    <col min="9417" max="9425" width="13.453125" style="60" customWidth="1"/>
    <col min="9426" max="9426" width="7.54296875" style="60" customWidth="1"/>
    <col min="9427" max="9427" width="7.7265625" style="60" customWidth="1"/>
    <col min="9428" max="9428" width="13.453125" style="60" customWidth="1"/>
    <col min="9429" max="9429" width="6.453125" style="60" bestFit="1" customWidth="1"/>
    <col min="9430" max="9430" width="7.54296875" style="60" customWidth="1"/>
    <col min="9431" max="9438" width="13.453125" style="60" customWidth="1"/>
    <col min="9439" max="9439" width="11.7265625" style="60" customWidth="1"/>
    <col min="9440" max="9440" width="9" style="60" bestFit="1" customWidth="1"/>
    <col min="9441" max="9441" width="13.453125" style="60" customWidth="1"/>
    <col min="9442" max="9442" width="12.08984375" style="60" bestFit="1" customWidth="1"/>
    <col min="9443" max="9443" width="15.08984375" style="60" customWidth="1"/>
    <col min="9444" max="9447" width="13.453125" style="60" customWidth="1"/>
    <col min="9448" max="9448" width="10.08984375" style="60" customWidth="1"/>
    <col min="9449" max="9449" width="13.453125" style="60" customWidth="1"/>
    <col min="9450" max="9450" width="10.54296875" style="60" bestFit="1" customWidth="1"/>
    <col min="9451" max="9662" width="8.7265625" style="60"/>
    <col min="9663" max="9663" width="6.7265625" style="60" customWidth="1"/>
    <col min="9664" max="9664" width="23.54296875" style="60" customWidth="1"/>
    <col min="9665" max="9665" width="8.36328125" style="60" customWidth="1"/>
    <col min="9666" max="9669" width="13.453125" style="60" customWidth="1"/>
    <col min="9670" max="9670" width="5" style="60" customWidth="1"/>
    <col min="9671" max="9671" width="13.453125" style="60" customWidth="1"/>
    <col min="9672" max="9672" width="10.08984375" style="60" customWidth="1"/>
    <col min="9673" max="9681" width="13.453125" style="60" customWidth="1"/>
    <col min="9682" max="9682" width="7.54296875" style="60" customWidth="1"/>
    <col min="9683" max="9683" width="7.7265625" style="60" customWidth="1"/>
    <col min="9684" max="9684" width="13.453125" style="60" customWidth="1"/>
    <col min="9685" max="9685" width="6.453125" style="60" bestFit="1" customWidth="1"/>
    <col min="9686" max="9686" width="7.54296875" style="60" customWidth="1"/>
    <col min="9687" max="9694" width="13.453125" style="60" customWidth="1"/>
    <col min="9695" max="9695" width="11.7265625" style="60" customWidth="1"/>
    <col min="9696" max="9696" width="9" style="60" bestFit="1" customWidth="1"/>
    <col min="9697" max="9697" width="13.453125" style="60" customWidth="1"/>
    <col min="9698" max="9698" width="12.08984375" style="60" bestFit="1" customWidth="1"/>
    <col min="9699" max="9699" width="15.08984375" style="60" customWidth="1"/>
    <col min="9700" max="9703" width="13.453125" style="60" customWidth="1"/>
    <col min="9704" max="9704" width="10.08984375" style="60" customWidth="1"/>
    <col min="9705" max="9705" width="13.453125" style="60" customWidth="1"/>
    <col min="9706" max="9706" width="10.54296875" style="60" bestFit="1" customWidth="1"/>
    <col min="9707" max="9918" width="8.7265625" style="60"/>
    <col min="9919" max="9919" width="6.7265625" style="60" customWidth="1"/>
    <col min="9920" max="9920" width="23.54296875" style="60" customWidth="1"/>
    <col min="9921" max="9921" width="8.36328125" style="60" customWidth="1"/>
    <col min="9922" max="9925" width="13.453125" style="60" customWidth="1"/>
    <col min="9926" max="9926" width="5" style="60" customWidth="1"/>
    <col min="9927" max="9927" width="13.453125" style="60" customWidth="1"/>
    <col min="9928" max="9928" width="10.08984375" style="60" customWidth="1"/>
    <col min="9929" max="9937" width="13.453125" style="60" customWidth="1"/>
    <col min="9938" max="9938" width="7.54296875" style="60" customWidth="1"/>
    <col min="9939" max="9939" width="7.7265625" style="60" customWidth="1"/>
    <col min="9940" max="9940" width="13.453125" style="60" customWidth="1"/>
    <col min="9941" max="9941" width="6.453125" style="60" bestFit="1" customWidth="1"/>
    <col min="9942" max="9942" width="7.54296875" style="60" customWidth="1"/>
    <col min="9943" max="9950" width="13.453125" style="60" customWidth="1"/>
    <col min="9951" max="9951" width="11.7265625" style="60" customWidth="1"/>
    <col min="9952" max="9952" width="9" style="60" bestFit="1" customWidth="1"/>
    <col min="9953" max="9953" width="13.453125" style="60" customWidth="1"/>
    <col min="9954" max="9954" width="12.08984375" style="60" bestFit="1" customWidth="1"/>
    <col min="9955" max="9955" width="15.08984375" style="60" customWidth="1"/>
    <col min="9956" max="9959" width="13.453125" style="60" customWidth="1"/>
    <col min="9960" max="9960" width="10.08984375" style="60" customWidth="1"/>
    <col min="9961" max="9961" width="13.453125" style="60" customWidth="1"/>
    <col min="9962" max="9962" width="10.54296875" style="60" bestFit="1" customWidth="1"/>
    <col min="9963" max="10174" width="8.7265625" style="60"/>
    <col min="10175" max="10175" width="6.7265625" style="60" customWidth="1"/>
    <col min="10176" max="10176" width="23.54296875" style="60" customWidth="1"/>
    <col min="10177" max="10177" width="8.36328125" style="60" customWidth="1"/>
    <col min="10178" max="10181" width="13.453125" style="60" customWidth="1"/>
    <col min="10182" max="10182" width="5" style="60" customWidth="1"/>
    <col min="10183" max="10183" width="13.453125" style="60" customWidth="1"/>
    <col min="10184" max="10184" width="10.08984375" style="60" customWidth="1"/>
    <col min="10185" max="10193" width="13.453125" style="60" customWidth="1"/>
    <col min="10194" max="10194" width="7.54296875" style="60" customWidth="1"/>
    <col min="10195" max="10195" width="7.7265625" style="60" customWidth="1"/>
    <col min="10196" max="10196" width="13.453125" style="60" customWidth="1"/>
    <col min="10197" max="10197" width="6.453125" style="60" bestFit="1" customWidth="1"/>
    <col min="10198" max="10198" width="7.54296875" style="60" customWidth="1"/>
    <col min="10199" max="10206" width="13.453125" style="60" customWidth="1"/>
    <col min="10207" max="10207" width="11.7265625" style="60" customWidth="1"/>
    <col min="10208" max="10208" width="9" style="60" bestFit="1" customWidth="1"/>
    <col min="10209" max="10209" width="13.453125" style="60" customWidth="1"/>
    <col min="10210" max="10210" width="12.08984375" style="60" bestFit="1" customWidth="1"/>
    <col min="10211" max="10211" width="15.08984375" style="60" customWidth="1"/>
    <col min="10212" max="10215" width="13.453125" style="60" customWidth="1"/>
    <col min="10216" max="10216" width="10.08984375" style="60" customWidth="1"/>
    <col min="10217" max="10217" width="13.453125" style="60" customWidth="1"/>
    <col min="10218" max="10218" width="10.54296875" style="60" bestFit="1" customWidth="1"/>
    <col min="10219" max="10430" width="8.7265625" style="60"/>
    <col min="10431" max="10431" width="6.7265625" style="60" customWidth="1"/>
    <col min="10432" max="10432" width="23.54296875" style="60" customWidth="1"/>
    <col min="10433" max="10433" width="8.36328125" style="60" customWidth="1"/>
    <col min="10434" max="10437" width="13.453125" style="60" customWidth="1"/>
    <col min="10438" max="10438" width="5" style="60" customWidth="1"/>
    <col min="10439" max="10439" width="13.453125" style="60" customWidth="1"/>
    <col min="10440" max="10440" width="10.08984375" style="60" customWidth="1"/>
    <col min="10441" max="10449" width="13.453125" style="60" customWidth="1"/>
    <col min="10450" max="10450" width="7.54296875" style="60" customWidth="1"/>
    <col min="10451" max="10451" width="7.7265625" style="60" customWidth="1"/>
    <col min="10452" max="10452" width="13.453125" style="60" customWidth="1"/>
    <col min="10453" max="10453" width="6.453125" style="60" bestFit="1" customWidth="1"/>
    <col min="10454" max="10454" width="7.54296875" style="60" customWidth="1"/>
    <col min="10455" max="10462" width="13.453125" style="60" customWidth="1"/>
    <col min="10463" max="10463" width="11.7265625" style="60" customWidth="1"/>
    <col min="10464" max="10464" width="9" style="60" bestFit="1" customWidth="1"/>
    <col min="10465" max="10465" width="13.453125" style="60" customWidth="1"/>
    <col min="10466" max="10466" width="12.08984375" style="60" bestFit="1" customWidth="1"/>
    <col min="10467" max="10467" width="15.08984375" style="60" customWidth="1"/>
    <col min="10468" max="10471" width="13.453125" style="60" customWidth="1"/>
    <col min="10472" max="10472" width="10.08984375" style="60" customWidth="1"/>
    <col min="10473" max="10473" width="13.453125" style="60" customWidth="1"/>
    <col min="10474" max="10474" width="10.54296875" style="60" bestFit="1" customWidth="1"/>
    <col min="10475" max="10686" width="8.7265625" style="60"/>
    <col min="10687" max="10687" width="6.7265625" style="60" customWidth="1"/>
    <col min="10688" max="10688" width="23.54296875" style="60" customWidth="1"/>
    <col min="10689" max="10689" width="8.36328125" style="60" customWidth="1"/>
    <col min="10690" max="10693" width="13.453125" style="60" customWidth="1"/>
    <col min="10694" max="10694" width="5" style="60" customWidth="1"/>
    <col min="10695" max="10695" width="13.453125" style="60" customWidth="1"/>
    <col min="10696" max="10696" width="10.08984375" style="60" customWidth="1"/>
    <col min="10697" max="10705" width="13.453125" style="60" customWidth="1"/>
    <col min="10706" max="10706" width="7.54296875" style="60" customWidth="1"/>
    <col min="10707" max="10707" width="7.7265625" style="60" customWidth="1"/>
    <col min="10708" max="10708" width="13.453125" style="60" customWidth="1"/>
    <col min="10709" max="10709" width="6.453125" style="60" bestFit="1" customWidth="1"/>
    <col min="10710" max="10710" width="7.54296875" style="60" customWidth="1"/>
    <col min="10711" max="10718" width="13.453125" style="60" customWidth="1"/>
    <col min="10719" max="10719" width="11.7265625" style="60" customWidth="1"/>
    <col min="10720" max="10720" width="9" style="60" bestFit="1" customWidth="1"/>
    <col min="10721" max="10721" width="13.453125" style="60" customWidth="1"/>
    <col min="10722" max="10722" width="12.08984375" style="60" bestFit="1" customWidth="1"/>
    <col min="10723" max="10723" width="15.08984375" style="60" customWidth="1"/>
    <col min="10724" max="10727" width="13.453125" style="60" customWidth="1"/>
    <col min="10728" max="10728" width="10.08984375" style="60" customWidth="1"/>
    <col min="10729" max="10729" width="13.453125" style="60" customWidth="1"/>
    <col min="10730" max="10730" width="10.54296875" style="60" bestFit="1" customWidth="1"/>
    <col min="10731" max="10942" width="8.7265625" style="60"/>
    <col min="10943" max="10943" width="6.7265625" style="60" customWidth="1"/>
    <col min="10944" max="10944" width="23.54296875" style="60" customWidth="1"/>
    <col min="10945" max="10945" width="8.36328125" style="60" customWidth="1"/>
    <col min="10946" max="10949" width="13.453125" style="60" customWidth="1"/>
    <col min="10950" max="10950" width="5" style="60" customWidth="1"/>
    <col min="10951" max="10951" width="13.453125" style="60" customWidth="1"/>
    <col min="10952" max="10952" width="10.08984375" style="60" customWidth="1"/>
    <col min="10953" max="10961" width="13.453125" style="60" customWidth="1"/>
    <col min="10962" max="10962" width="7.54296875" style="60" customWidth="1"/>
    <col min="10963" max="10963" width="7.7265625" style="60" customWidth="1"/>
    <col min="10964" max="10964" width="13.453125" style="60" customWidth="1"/>
    <col min="10965" max="10965" width="6.453125" style="60" bestFit="1" customWidth="1"/>
    <col min="10966" max="10966" width="7.54296875" style="60" customWidth="1"/>
    <col min="10967" max="10974" width="13.453125" style="60" customWidth="1"/>
    <col min="10975" max="10975" width="11.7265625" style="60" customWidth="1"/>
    <col min="10976" max="10976" width="9" style="60" bestFit="1" customWidth="1"/>
    <col min="10977" max="10977" width="13.453125" style="60" customWidth="1"/>
    <col min="10978" max="10978" width="12.08984375" style="60" bestFit="1" customWidth="1"/>
    <col min="10979" max="10979" width="15.08984375" style="60" customWidth="1"/>
    <col min="10980" max="10983" width="13.453125" style="60" customWidth="1"/>
    <col min="10984" max="10984" width="10.08984375" style="60" customWidth="1"/>
    <col min="10985" max="10985" width="13.453125" style="60" customWidth="1"/>
    <col min="10986" max="10986" width="10.54296875" style="60" bestFit="1" customWidth="1"/>
    <col min="10987" max="11198" width="8.7265625" style="60"/>
    <col min="11199" max="11199" width="6.7265625" style="60" customWidth="1"/>
    <col min="11200" max="11200" width="23.54296875" style="60" customWidth="1"/>
    <col min="11201" max="11201" width="8.36328125" style="60" customWidth="1"/>
    <col min="11202" max="11205" width="13.453125" style="60" customWidth="1"/>
    <col min="11206" max="11206" width="5" style="60" customWidth="1"/>
    <col min="11207" max="11207" width="13.453125" style="60" customWidth="1"/>
    <col min="11208" max="11208" width="10.08984375" style="60" customWidth="1"/>
    <col min="11209" max="11217" width="13.453125" style="60" customWidth="1"/>
    <col min="11218" max="11218" width="7.54296875" style="60" customWidth="1"/>
    <col min="11219" max="11219" width="7.7265625" style="60" customWidth="1"/>
    <col min="11220" max="11220" width="13.453125" style="60" customWidth="1"/>
    <col min="11221" max="11221" width="6.453125" style="60" bestFit="1" customWidth="1"/>
    <col min="11222" max="11222" width="7.54296875" style="60" customWidth="1"/>
    <col min="11223" max="11230" width="13.453125" style="60" customWidth="1"/>
    <col min="11231" max="11231" width="11.7265625" style="60" customWidth="1"/>
    <col min="11232" max="11232" width="9" style="60" bestFit="1" customWidth="1"/>
    <col min="11233" max="11233" width="13.453125" style="60" customWidth="1"/>
    <col min="11234" max="11234" width="12.08984375" style="60" bestFit="1" customWidth="1"/>
    <col min="11235" max="11235" width="15.08984375" style="60" customWidth="1"/>
    <col min="11236" max="11239" width="13.453125" style="60" customWidth="1"/>
    <col min="11240" max="11240" width="10.08984375" style="60" customWidth="1"/>
    <col min="11241" max="11241" width="13.453125" style="60" customWidth="1"/>
    <col min="11242" max="11242" width="10.54296875" style="60" bestFit="1" customWidth="1"/>
    <col min="11243" max="11454" width="8.7265625" style="60"/>
    <col min="11455" max="11455" width="6.7265625" style="60" customWidth="1"/>
    <col min="11456" max="11456" width="23.54296875" style="60" customWidth="1"/>
    <col min="11457" max="11457" width="8.36328125" style="60" customWidth="1"/>
    <col min="11458" max="11461" width="13.453125" style="60" customWidth="1"/>
    <col min="11462" max="11462" width="5" style="60" customWidth="1"/>
    <col min="11463" max="11463" width="13.453125" style="60" customWidth="1"/>
    <col min="11464" max="11464" width="10.08984375" style="60" customWidth="1"/>
    <col min="11465" max="11473" width="13.453125" style="60" customWidth="1"/>
    <col min="11474" max="11474" width="7.54296875" style="60" customWidth="1"/>
    <col min="11475" max="11475" width="7.7265625" style="60" customWidth="1"/>
    <col min="11476" max="11476" width="13.453125" style="60" customWidth="1"/>
    <col min="11477" max="11477" width="6.453125" style="60" bestFit="1" customWidth="1"/>
    <col min="11478" max="11478" width="7.54296875" style="60" customWidth="1"/>
    <col min="11479" max="11486" width="13.453125" style="60" customWidth="1"/>
    <col min="11487" max="11487" width="11.7265625" style="60" customWidth="1"/>
    <col min="11488" max="11488" width="9" style="60" bestFit="1" customWidth="1"/>
    <col min="11489" max="11489" width="13.453125" style="60" customWidth="1"/>
    <col min="11490" max="11490" width="12.08984375" style="60" bestFit="1" customWidth="1"/>
    <col min="11491" max="11491" width="15.08984375" style="60" customWidth="1"/>
    <col min="11492" max="11495" width="13.453125" style="60" customWidth="1"/>
    <col min="11496" max="11496" width="10.08984375" style="60" customWidth="1"/>
    <col min="11497" max="11497" width="13.453125" style="60" customWidth="1"/>
    <col min="11498" max="11498" width="10.54296875" style="60" bestFit="1" customWidth="1"/>
    <col min="11499" max="11710" width="8.7265625" style="60"/>
    <col min="11711" max="11711" width="6.7265625" style="60" customWidth="1"/>
    <col min="11712" max="11712" width="23.54296875" style="60" customWidth="1"/>
    <col min="11713" max="11713" width="8.36328125" style="60" customWidth="1"/>
    <col min="11714" max="11717" width="13.453125" style="60" customWidth="1"/>
    <col min="11718" max="11718" width="5" style="60" customWidth="1"/>
    <col min="11719" max="11719" width="13.453125" style="60" customWidth="1"/>
    <col min="11720" max="11720" width="10.08984375" style="60" customWidth="1"/>
    <col min="11721" max="11729" width="13.453125" style="60" customWidth="1"/>
    <col min="11730" max="11730" width="7.54296875" style="60" customWidth="1"/>
    <col min="11731" max="11731" width="7.7265625" style="60" customWidth="1"/>
    <col min="11732" max="11732" width="13.453125" style="60" customWidth="1"/>
    <col min="11733" max="11733" width="6.453125" style="60" bestFit="1" customWidth="1"/>
    <col min="11734" max="11734" width="7.54296875" style="60" customWidth="1"/>
    <col min="11735" max="11742" width="13.453125" style="60" customWidth="1"/>
    <col min="11743" max="11743" width="11.7265625" style="60" customWidth="1"/>
    <col min="11744" max="11744" width="9" style="60" bestFit="1" customWidth="1"/>
    <col min="11745" max="11745" width="13.453125" style="60" customWidth="1"/>
    <col min="11746" max="11746" width="12.08984375" style="60" bestFit="1" customWidth="1"/>
    <col min="11747" max="11747" width="15.08984375" style="60" customWidth="1"/>
    <col min="11748" max="11751" width="13.453125" style="60" customWidth="1"/>
    <col min="11752" max="11752" width="10.08984375" style="60" customWidth="1"/>
    <col min="11753" max="11753" width="13.453125" style="60" customWidth="1"/>
    <col min="11754" max="11754" width="10.54296875" style="60" bestFit="1" customWidth="1"/>
    <col min="11755" max="11966" width="8.7265625" style="60"/>
    <col min="11967" max="11967" width="6.7265625" style="60" customWidth="1"/>
    <col min="11968" max="11968" width="23.54296875" style="60" customWidth="1"/>
    <col min="11969" max="11969" width="8.36328125" style="60" customWidth="1"/>
    <col min="11970" max="11973" width="13.453125" style="60" customWidth="1"/>
    <col min="11974" max="11974" width="5" style="60" customWidth="1"/>
    <col min="11975" max="11975" width="13.453125" style="60" customWidth="1"/>
    <col min="11976" max="11976" width="10.08984375" style="60" customWidth="1"/>
    <col min="11977" max="11985" width="13.453125" style="60" customWidth="1"/>
    <col min="11986" max="11986" width="7.54296875" style="60" customWidth="1"/>
    <col min="11987" max="11987" width="7.7265625" style="60" customWidth="1"/>
    <col min="11988" max="11988" width="13.453125" style="60" customWidth="1"/>
    <col min="11989" max="11989" width="6.453125" style="60" bestFit="1" customWidth="1"/>
    <col min="11990" max="11990" width="7.54296875" style="60" customWidth="1"/>
    <col min="11991" max="11998" width="13.453125" style="60" customWidth="1"/>
    <col min="11999" max="11999" width="11.7265625" style="60" customWidth="1"/>
    <col min="12000" max="12000" width="9" style="60" bestFit="1" customWidth="1"/>
    <col min="12001" max="12001" width="13.453125" style="60" customWidth="1"/>
    <col min="12002" max="12002" width="12.08984375" style="60" bestFit="1" customWidth="1"/>
    <col min="12003" max="12003" width="15.08984375" style="60" customWidth="1"/>
    <col min="12004" max="12007" width="13.453125" style="60" customWidth="1"/>
    <col min="12008" max="12008" width="10.08984375" style="60" customWidth="1"/>
    <col min="12009" max="12009" width="13.453125" style="60" customWidth="1"/>
    <col min="12010" max="12010" width="10.54296875" style="60" bestFit="1" customWidth="1"/>
    <col min="12011" max="12222" width="8.7265625" style="60"/>
    <col min="12223" max="12223" width="6.7265625" style="60" customWidth="1"/>
    <col min="12224" max="12224" width="23.54296875" style="60" customWidth="1"/>
    <col min="12225" max="12225" width="8.36328125" style="60" customWidth="1"/>
    <col min="12226" max="12229" width="13.453125" style="60" customWidth="1"/>
    <col min="12230" max="12230" width="5" style="60" customWidth="1"/>
    <col min="12231" max="12231" width="13.453125" style="60" customWidth="1"/>
    <col min="12232" max="12232" width="10.08984375" style="60" customWidth="1"/>
    <col min="12233" max="12241" width="13.453125" style="60" customWidth="1"/>
    <col min="12242" max="12242" width="7.54296875" style="60" customWidth="1"/>
    <col min="12243" max="12243" width="7.7265625" style="60" customWidth="1"/>
    <col min="12244" max="12244" width="13.453125" style="60" customWidth="1"/>
    <col min="12245" max="12245" width="6.453125" style="60" bestFit="1" customWidth="1"/>
    <col min="12246" max="12246" width="7.54296875" style="60" customWidth="1"/>
    <col min="12247" max="12254" width="13.453125" style="60" customWidth="1"/>
    <col min="12255" max="12255" width="11.7265625" style="60" customWidth="1"/>
    <col min="12256" max="12256" width="9" style="60" bestFit="1" customWidth="1"/>
    <col min="12257" max="12257" width="13.453125" style="60" customWidth="1"/>
    <col min="12258" max="12258" width="12.08984375" style="60" bestFit="1" customWidth="1"/>
    <col min="12259" max="12259" width="15.08984375" style="60" customWidth="1"/>
    <col min="12260" max="12263" width="13.453125" style="60" customWidth="1"/>
    <col min="12264" max="12264" width="10.08984375" style="60" customWidth="1"/>
    <col min="12265" max="12265" width="13.453125" style="60" customWidth="1"/>
    <col min="12266" max="12266" width="10.54296875" style="60" bestFit="1" customWidth="1"/>
    <col min="12267" max="12478" width="8.7265625" style="60"/>
    <col min="12479" max="12479" width="6.7265625" style="60" customWidth="1"/>
    <col min="12480" max="12480" width="23.54296875" style="60" customWidth="1"/>
    <col min="12481" max="12481" width="8.36328125" style="60" customWidth="1"/>
    <col min="12482" max="12485" width="13.453125" style="60" customWidth="1"/>
    <col min="12486" max="12486" width="5" style="60" customWidth="1"/>
    <col min="12487" max="12487" width="13.453125" style="60" customWidth="1"/>
    <col min="12488" max="12488" width="10.08984375" style="60" customWidth="1"/>
    <col min="12489" max="12497" width="13.453125" style="60" customWidth="1"/>
    <col min="12498" max="12498" width="7.54296875" style="60" customWidth="1"/>
    <col min="12499" max="12499" width="7.7265625" style="60" customWidth="1"/>
    <col min="12500" max="12500" width="13.453125" style="60" customWidth="1"/>
    <col min="12501" max="12501" width="6.453125" style="60" bestFit="1" customWidth="1"/>
    <col min="12502" max="12502" width="7.54296875" style="60" customWidth="1"/>
    <col min="12503" max="12510" width="13.453125" style="60" customWidth="1"/>
    <col min="12511" max="12511" width="11.7265625" style="60" customWidth="1"/>
    <col min="12512" max="12512" width="9" style="60" bestFit="1" customWidth="1"/>
    <col min="12513" max="12513" width="13.453125" style="60" customWidth="1"/>
    <col min="12514" max="12514" width="12.08984375" style="60" bestFit="1" customWidth="1"/>
    <col min="12515" max="12515" width="15.08984375" style="60" customWidth="1"/>
    <col min="12516" max="12519" width="13.453125" style="60" customWidth="1"/>
    <col min="12520" max="12520" width="10.08984375" style="60" customWidth="1"/>
    <col min="12521" max="12521" width="13.453125" style="60" customWidth="1"/>
    <col min="12522" max="12522" width="10.54296875" style="60" bestFit="1" customWidth="1"/>
    <col min="12523" max="12734" width="8.7265625" style="60"/>
    <col min="12735" max="12735" width="6.7265625" style="60" customWidth="1"/>
    <col min="12736" max="12736" width="23.54296875" style="60" customWidth="1"/>
    <col min="12737" max="12737" width="8.36328125" style="60" customWidth="1"/>
    <col min="12738" max="12741" width="13.453125" style="60" customWidth="1"/>
    <col min="12742" max="12742" width="5" style="60" customWidth="1"/>
    <col min="12743" max="12743" width="13.453125" style="60" customWidth="1"/>
    <col min="12744" max="12744" width="10.08984375" style="60" customWidth="1"/>
    <col min="12745" max="12753" width="13.453125" style="60" customWidth="1"/>
    <col min="12754" max="12754" width="7.54296875" style="60" customWidth="1"/>
    <col min="12755" max="12755" width="7.7265625" style="60" customWidth="1"/>
    <col min="12756" max="12756" width="13.453125" style="60" customWidth="1"/>
    <col min="12757" max="12757" width="6.453125" style="60" bestFit="1" customWidth="1"/>
    <col min="12758" max="12758" width="7.54296875" style="60" customWidth="1"/>
    <col min="12759" max="12766" width="13.453125" style="60" customWidth="1"/>
    <col min="12767" max="12767" width="11.7265625" style="60" customWidth="1"/>
    <col min="12768" max="12768" width="9" style="60" bestFit="1" customWidth="1"/>
    <col min="12769" max="12769" width="13.453125" style="60" customWidth="1"/>
    <col min="12770" max="12770" width="12.08984375" style="60" bestFit="1" customWidth="1"/>
    <col min="12771" max="12771" width="15.08984375" style="60" customWidth="1"/>
    <col min="12772" max="12775" width="13.453125" style="60" customWidth="1"/>
    <col min="12776" max="12776" width="10.08984375" style="60" customWidth="1"/>
    <col min="12777" max="12777" width="13.453125" style="60" customWidth="1"/>
    <col min="12778" max="12778" width="10.54296875" style="60" bestFit="1" customWidth="1"/>
    <col min="12779" max="12990" width="8.7265625" style="60"/>
    <col min="12991" max="12991" width="6.7265625" style="60" customWidth="1"/>
    <col min="12992" max="12992" width="23.54296875" style="60" customWidth="1"/>
    <col min="12993" max="12993" width="8.36328125" style="60" customWidth="1"/>
    <col min="12994" max="12997" width="13.453125" style="60" customWidth="1"/>
    <col min="12998" max="12998" width="5" style="60" customWidth="1"/>
    <col min="12999" max="12999" width="13.453125" style="60" customWidth="1"/>
    <col min="13000" max="13000" width="10.08984375" style="60" customWidth="1"/>
    <col min="13001" max="13009" width="13.453125" style="60" customWidth="1"/>
    <col min="13010" max="13010" width="7.54296875" style="60" customWidth="1"/>
    <col min="13011" max="13011" width="7.7265625" style="60" customWidth="1"/>
    <col min="13012" max="13012" width="13.453125" style="60" customWidth="1"/>
    <col min="13013" max="13013" width="6.453125" style="60" bestFit="1" customWidth="1"/>
    <col min="13014" max="13014" width="7.54296875" style="60" customWidth="1"/>
    <col min="13015" max="13022" width="13.453125" style="60" customWidth="1"/>
    <col min="13023" max="13023" width="11.7265625" style="60" customWidth="1"/>
    <col min="13024" max="13024" width="9" style="60" bestFit="1" customWidth="1"/>
    <col min="13025" max="13025" width="13.453125" style="60" customWidth="1"/>
    <col min="13026" max="13026" width="12.08984375" style="60" bestFit="1" customWidth="1"/>
    <col min="13027" max="13027" width="15.08984375" style="60" customWidth="1"/>
    <col min="13028" max="13031" width="13.453125" style="60" customWidth="1"/>
    <col min="13032" max="13032" width="10.08984375" style="60" customWidth="1"/>
    <col min="13033" max="13033" width="13.453125" style="60" customWidth="1"/>
    <col min="13034" max="13034" width="10.54296875" style="60" bestFit="1" customWidth="1"/>
    <col min="13035" max="13246" width="8.7265625" style="60"/>
    <col min="13247" max="13247" width="6.7265625" style="60" customWidth="1"/>
    <col min="13248" max="13248" width="23.54296875" style="60" customWidth="1"/>
    <col min="13249" max="13249" width="8.36328125" style="60" customWidth="1"/>
    <col min="13250" max="13253" width="13.453125" style="60" customWidth="1"/>
    <col min="13254" max="13254" width="5" style="60" customWidth="1"/>
    <col min="13255" max="13255" width="13.453125" style="60" customWidth="1"/>
    <col min="13256" max="13256" width="10.08984375" style="60" customWidth="1"/>
    <col min="13257" max="13265" width="13.453125" style="60" customWidth="1"/>
    <col min="13266" max="13266" width="7.54296875" style="60" customWidth="1"/>
    <col min="13267" max="13267" width="7.7265625" style="60" customWidth="1"/>
    <col min="13268" max="13268" width="13.453125" style="60" customWidth="1"/>
    <col min="13269" max="13269" width="6.453125" style="60" bestFit="1" customWidth="1"/>
    <col min="13270" max="13270" width="7.54296875" style="60" customWidth="1"/>
    <col min="13271" max="13278" width="13.453125" style="60" customWidth="1"/>
    <col min="13279" max="13279" width="11.7265625" style="60" customWidth="1"/>
    <col min="13280" max="13280" width="9" style="60" bestFit="1" customWidth="1"/>
    <col min="13281" max="13281" width="13.453125" style="60" customWidth="1"/>
    <col min="13282" max="13282" width="12.08984375" style="60" bestFit="1" customWidth="1"/>
    <col min="13283" max="13283" width="15.08984375" style="60" customWidth="1"/>
    <col min="13284" max="13287" width="13.453125" style="60" customWidth="1"/>
    <col min="13288" max="13288" width="10.08984375" style="60" customWidth="1"/>
    <col min="13289" max="13289" width="13.453125" style="60" customWidth="1"/>
    <col min="13290" max="13290" width="10.54296875" style="60" bestFit="1" customWidth="1"/>
    <col min="13291" max="13502" width="8.7265625" style="60"/>
    <col min="13503" max="13503" width="6.7265625" style="60" customWidth="1"/>
    <col min="13504" max="13504" width="23.54296875" style="60" customWidth="1"/>
    <col min="13505" max="13505" width="8.36328125" style="60" customWidth="1"/>
    <col min="13506" max="13509" width="13.453125" style="60" customWidth="1"/>
    <col min="13510" max="13510" width="5" style="60" customWidth="1"/>
    <col min="13511" max="13511" width="13.453125" style="60" customWidth="1"/>
    <col min="13512" max="13512" width="10.08984375" style="60" customWidth="1"/>
    <col min="13513" max="13521" width="13.453125" style="60" customWidth="1"/>
    <col min="13522" max="13522" width="7.54296875" style="60" customWidth="1"/>
    <col min="13523" max="13523" width="7.7265625" style="60" customWidth="1"/>
    <col min="13524" max="13524" width="13.453125" style="60" customWidth="1"/>
    <col min="13525" max="13525" width="6.453125" style="60" bestFit="1" customWidth="1"/>
    <col min="13526" max="13526" width="7.54296875" style="60" customWidth="1"/>
    <col min="13527" max="13534" width="13.453125" style="60" customWidth="1"/>
    <col min="13535" max="13535" width="11.7265625" style="60" customWidth="1"/>
    <col min="13536" max="13536" width="9" style="60" bestFit="1" customWidth="1"/>
    <col min="13537" max="13537" width="13.453125" style="60" customWidth="1"/>
    <col min="13538" max="13538" width="12.08984375" style="60" bestFit="1" customWidth="1"/>
    <col min="13539" max="13539" width="15.08984375" style="60" customWidth="1"/>
    <col min="13540" max="13543" width="13.453125" style="60" customWidth="1"/>
    <col min="13544" max="13544" width="10.08984375" style="60" customWidth="1"/>
    <col min="13545" max="13545" width="13.453125" style="60" customWidth="1"/>
    <col min="13546" max="13546" width="10.54296875" style="60" bestFit="1" customWidth="1"/>
    <col min="13547" max="13758" width="8.7265625" style="60"/>
    <col min="13759" max="13759" width="6.7265625" style="60" customWidth="1"/>
    <col min="13760" max="13760" width="23.54296875" style="60" customWidth="1"/>
    <col min="13761" max="13761" width="8.36328125" style="60" customWidth="1"/>
    <col min="13762" max="13765" width="13.453125" style="60" customWidth="1"/>
    <col min="13766" max="13766" width="5" style="60" customWidth="1"/>
    <col min="13767" max="13767" width="13.453125" style="60" customWidth="1"/>
    <col min="13768" max="13768" width="10.08984375" style="60" customWidth="1"/>
    <col min="13769" max="13777" width="13.453125" style="60" customWidth="1"/>
    <col min="13778" max="13778" width="7.54296875" style="60" customWidth="1"/>
    <col min="13779" max="13779" width="7.7265625" style="60" customWidth="1"/>
    <col min="13780" max="13780" width="13.453125" style="60" customWidth="1"/>
    <col min="13781" max="13781" width="6.453125" style="60" bestFit="1" customWidth="1"/>
    <col min="13782" max="13782" width="7.54296875" style="60" customWidth="1"/>
    <col min="13783" max="13790" width="13.453125" style="60" customWidth="1"/>
    <col min="13791" max="13791" width="11.7265625" style="60" customWidth="1"/>
    <col min="13792" max="13792" width="9" style="60" bestFit="1" customWidth="1"/>
    <col min="13793" max="13793" width="13.453125" style="60" customWidth="1"/>
    <col min="13794" max="13794" width="12.08984375" style="60" bestFit="1" customWidth="1"/>
    <col min="13795" max="13795" width="15.08984375" style="60" customWidth="1"/>
    <col min="13796" max="13799" width="13.453125" style="60" customWidth="1"/>
    <col min="13800" max="13800" width="10.08984375" style="60" customWidth="1"/>
    <col min="13801" max="13801" width="13.453125" style="60" customWidth="1"/>
    <col min="13802" max="13802" width="10.54296875" style="60" bestFit="1" customWidth="1"/>
    <col min="13803" max="14014" width="8.7265625" style="60"/>
    <col min="14015" max="14015" width="6.7265625" style="60" customWidth="1"/>
    <col min="14016" max="14016" width="23.54296875" style="60" customWidth="1"/>
    <col min="14017" max="14017" width="8.36328125" style="60" customWidth="1"/>
    <col min="14018" max="14021" width="13.453125" style="60" customWidth="1"/>
    <col min="14022" max="14022" width="5" style="60" customWidth="1"/>
    <col min="14023" max="14023" width="13.453125" style="60" customWidth="1"/>
    <col min="14024" max="14024" width="10.08984375" style="60" customWidth="1"/>
    <col min="14025" max="14033" width="13.453125" style="60" customWidth="1"/>
    <col min="14034" max="14034" width="7.54296875" style="60" customWidth="1"/>
    <col min="14035" max="14035" width="7.7265625" style="60" customWidth="1"/>
    <col min="14036" max="14036" width="13.453125" style="60" customWidth="1"/>
    <col min="14037" max="14037" width="6.453125" style="60" bestFit="1" customWidth="1"/>
    <col min="14038" max="14038" width="7.54296875" style="60" customWidth="1"/>
    <col min="14039" max="14046" width="13.453125" style="60" customWidth="1"/>
    <col min="14047" max="14047" width="11.7265625" style="60" customWidth="1"/>
    <col min="14048" max="14048" width="9" style="60" bestFit="1" customWidth="1"/>
    <col min="14049" max="14049" width="13.453125" style="60" customWidth="1"/>
    <col min="14050" max="14050" width="12.08984375" style="60" bestFit="1" customWidth="1"/>
    <col min="14051" max="14051" width="15.08984375" style="60" customWidth="1"/>
    <col min="14052" max="14055" width="13.453125" style="60" customWidth="1"/>
    <col min="14056" max="14056" width="10.08984375" style="60" customWidth="1"/>
    <col min="14057" max="14057" width="13.453125" style="60" customWidth="1"/>
    <col min="14058" max="14058" width="10.54296875" style="60" bestFit="1" customWidth="1"/>
    <col min="14059" max="14270" width="8.7265625" style="60"/>
    <col min="14271" max="14271" width="6.7265625" style="60" customWidth="1"/>
    <col min="14272" max="14272" width="23.54296875" style="60" customWidth="1"/>
    <col min="14273" max="14273" width="8.36328125" style="60" customWidth="1"/>
    <col min="14274" max="14277" width="13.453125" style="60" customWidth="1"/>
    <col min="14278" max="14278" width="5" style="60" customWidth="1"/>
    <col min="14279" max="14279" width="13.453125" style="60" customWidth="1"/>
    <col min="14280" max="14280" width="10.08984375" style="60" customWidth="1"/>
    <col min="14281" max="14289" width="13.453125" style="60" customWidth="1"/>
    <col min="14290" max="14290" width="7.54296875" style="60" customWidth="1"/>
    <col min="14291" max="14291" width="7.7265625" style="60" customWidth="1"/>
    <col min="14292" max="14292" width="13.453125" style="60" customWidth="1"/>
    <col min="14293" max="14293" width="6.453125" style="60" bestFit="1" customWidth="1"/>
    <col min="14294" max="14294" width="7.54296875" style="60" customWidth="1"/>
    <col min="14295" max="14302" width="13.453125" style="60" customWidth="1"/>
    <col min="14303" max="14303" width="11.7265625" style="60" customWidth="1"/>
    <col min="14304" max="14304" width="9" style="60" bestFit="1" customWidth="1"/>
    <col min="14305" max="14305" width="13.453125" style="60" customWidth="1"/>
    <col min="14306" max="14306" width="12.08984375" style="60" bestFit="1" customWidth="1"/>
    <col min="14307" max="14307" width="15.08984375" style="60" customWidth="1"/>
    <col min="14308" max="14311" width="13.453125" style="60" customWidth="1"/>
    <col min="14312" max="14312" width="10.08984375" style="60" customWidth="1"/>
    <col min="14313" max="14313" width="13.453125" style="60" customWidth="1"/>
    <col min="14314" max="14314" width="10.54296875" style="60" bestFit="1" customWidth="1"/>
    <col min="14315" max="14526" width="8.7265625" style="60"/>
    <col min="14527" max="14527" width="6.7265625" style="60" customWidth="1"/>
    <col min="14528" max="14528" width="23.54296875" style="60" customWidth="1"/>
    <col min="14529" max="14529" width="8.36328125" style="60" customWidth="1"/>
    <col min="14530" max="14533" width="13.453125" style="60" customWidth="1"/>
    <col min="14534" max="14534" width="5" style="60" customWidth="1"/>
    <col min="14535" max="14535" width="13.453125" style="60" customWidth="1"/>
    <col min="14536" max="14536" width="10.08984375" style="60" customWidth="1"/>
    <col min="14537" max="14545" width="13.453125" style="60" customWidth="1"/>
    <col min="14546" max="14546" width="7.54296875" style="60" customWidth="1"/>
    <col min="14547" max="14547" width="7.7265625" style="60" customWidth="1"/>
    <col min="14548" max="14548" width="13.453125" style="60" customWidth="1"/>
    <col min="14549" max="14549" width="6.453125" style="60" bestFit="1" customWidth="1"/>
    <col min="14550" max="14550" width="7.54296875" style="60" customWidth="1"/>
    <col min="14551" max="14558" width="13.453125" style="60" customWidth="1"/>
    <col min="14559" max="14559" width="11.7265625" style="60" customWidth="1"/>
    <col min="14560" max="14560" width="9" style="60" bestFit="1" customWidth="1"/>
    <col min="14561" max="14561" width="13.453125" style="60" customWidth="1"/>
    <col min="14562" max="14562" width="12.08984375" style="60" bestFit="1" customWidth="1"/>
    <col min="14563" max="14563" width="15.08984375" style="60" customWidth="1"/>
    <col min="14564" max="14567" width="13.453125" style="60" customWidth="1"/>
    <col min="14568" max="14568" width="10.08984375" style="60" customWidth="1"/>
    <col min="14569" max="14569" width="13.453125" style="60" customWidth="1"/>
    <col min="14570" max="14570" width="10.54296875" style="60" bestFit="1" customWidth="1"/>
    <col min="14571" max="14782" width="8.7265625" style="60"/>
    <col min="14783" max="14783" width="6.7265625" style="60" customWidth="1"/>
    <col min="14784" max="14784" width="23.54296875" style="60" customWidth="1"/>
    <col min="14785" max="14785" width="8.36328125" style="60" customWidth="1"/>
    <col min="14786" max="14789" width="13.453125" style="60" customWidth="1"/>
    <col min="14790" max="14790" width="5" style="60" customWidth="1"/>
    <col min="14791" max="14791" width="13.453125" style="60" customWidth="1"/>
    <col min="14792" max="14792" width="10.08984375" style="60" customWidth="1"/>
    <col min="14793" max="14801" width="13.453125" style="60" customWidth="1"/>
    <col min="14802" max="14802" width="7.54296875" style="60" customWidth="1"/>
    <col min="14803" max="14803" width="7.7265625" style="60" customWidth="1"/>
    <col min="14804" max="14804" width="13.453125" style="60" customWidth="1"/>
    <col min="14805" max="14805" width="6.453125" style="60" bestFit="1" customWidth="1"/>
    <col min="14806" max="14806" width="7.54296875" style="60" customWidth="1"/>
    <col min="14807" max="14814" width="13.453125" style="60" customWidth="1"/>
    <col min="14815" max="14815" width="11.7265625" style="60" customWidth="1"/>
    <col min="14816" max="14816" width="9" style="60" bestFit="1" customWidth="1"/>
    <col min="14817" max="14817" width="13.453125" style="60" customWidth="1"/>
    <col min="14818" max="14818" width="12.08984375" style="60" bestFit="1" customWidth="1"/>
    <col min="14819" max="14819" width="15.08984375" style="60" customWidth="1"/>
    <col min="14820" max="14823" width="13.453125" style="60" customWidth="1"/>
    <col min="14824" max="14824" width="10.08984375" style="60" customWidth="1"/>
    <col min="14825" max="14825" width="13.453125" style="60" customWidth="1"/>
    <col min="14826" max="14826" width="10.54296875" style="60" bestFit="1" customWidth="1"/>
    <col min="14827" max="15038" width="8.7265625" style="60"/>
    <col min="15039" max="15039" width="6.7265625" style="60" customWidth="1"/>
    <col min="15040" max="15040" width="23.54296875" style="60" customWidth="1"/>
    <col min="15041" max="15041" width="8.36328125" style="60" customWidth="1"/>
    <col min="15042" max="15045" width="13.453125" style="60" customWidth="1"/>
    <col min="15046" max="15046" width="5" style="60" customWidth="1"/>
    <col min="15047" max="15047" width="13.453125" style="60" customWidth="1"/>
    <col min="15048" max="15048" width="10.08984375" style="60" customWidth="1"/>
    <col min="15049" max="15057" width="13.453125" style="60" customWidth="1"/>
    <col min="15058" max="15058" width="7.54296875" style="60" customWidth="1"/>
    <col min="15059" max="15059" width="7.7265625" style="60" customWidth="1"/>
    <col min="15060" max="15060" width="13.453125" style="60" customWidth="1"/>
    <col min="15061" max="15061" width="6.453125" style="60" bestFit="1" customWidth="1"/>
    <col min="15062" max="15062" width="7.54296875" style="60" customWidth="1"/>
    <col min="15063" max="15070" width="13.453125" style="60" customWidth="1"/>
    <col min="15071" max="15071" width="11.7265625" style="60" customWidth="1"/>
    <col min="15072" max="15072" width="9" style="60" bestFit="1" customWidth="1"/>
    <col min="15073" max="15073" width="13.453125" style="60" customWidth="1"/>
    <col min="15074" max="15074" width="12.08984375" style="60" bestFit="1" customWidth="1"/>
    <col min="15075" max="15075" width="15.08984375" style="60" customWidth="1"/>
    <col min="15076" max="15079" width="13.453125" style="60" customWidth="1"/>
    <col min="15080" max="15080" width="10.08984375" style="60" customWidth="1"/>
    <col min="15081" max="15081" width="13.453125" style="60" customWidth="1"/>
    <col min="15082" max="15082" width="10.54296875" style="60" bestFit="1" customWidth="1"/>
    <col min="15083" max="15294" width="8.7265625" style="60"/>
    <col min="15295" max="15295" width="6.7265625" style="60" customWidth="1"/>
    <col min="15296" max="15296" width="23.54296875" style="60" customWidth="1"/>
    <col min="15297" max="15297" width="8.36328125" style="60" customWidth="1"/>
    <col min="15298" max="15301" width="13.453125" style="60" customWidth="1"/>
    <col min="15302" max="15302" width="5" style="60" customWidth="1"/>
    <col min="15303" max="15303" width="13.453125" style="60" customWidth="1"/>
    <col min="15304" max="15304" width="10.08984375" style="60" customWidth="1"/>
    <col min="15305" max="15313" width="13.453125" style="60" customWidth="1"/>
    <col min="15314" max="15314" width="7.54296875" style="60" customWidth="1"/>
    <col min="15315" max="15315" width="7.7265625" style="60" customWidth="1"/>
    <col min="15316" max="15316" width="13.453125" style="60" customWidth="1"/>
    <col min="15317" max="15317" width="6.453125" style="60" bestFit="1" customWidth="1"/>
    <col min="15318" max="15318" width="7.54296875" style="60" customWidth="1"/>
    <col min="15319" max="15326" width="13.453125" style="60" customWidth="1"/>
    <col min="15327" max="15327" width="11.7265625" style="60" customWidth="1"/>
    <col min="15328" max="15328" width="9" style="60" bestFit="1" customWidth="1"/>
    <col min="15329" max="15329" width="13.453125" style="60" customWidth="1"/>
    <col min="15330" max="15330" width="12.08984375" style="60" bestFit="1" customWidth="1"/>
    <col min="15331" max="15331" width="15.08984375" style="60" customWidth="1"/>
    <col min="15332" max="15335" width="13.453125" style="60" customWidth="1"/>
    <col min="15336" max="15336" width="10.08984375" style="60" customWidth="1"/>
    <col min="15337" max="15337" width="13.453125" style="60" customWidth="1"/>
    <col min="15338" max="15338" width="10.54296875" style="60" bestFit="1" customWidth="1"/>
    <col min="15339" max="15550" width="8.7265625" style="60"/>
    <col min="15551" max="15551" width="6.7265625" style="60" customWidth="1"/>
    <col min="15552" max="15552" width="23.54296875" style="60" customWidth="1"/>
    <col min="15553" max="15553" width="8.36328125" style="60" customWidth="1"/>
    <col min="15554" max="15557" width="13.453125" style="60" customWidth="1"/>
    <col min="15558" max="15558" width="5" style="60" customWidth="1"/>
    <col min="15559" max="15559" width="13.453125" style="60" customWidth="1"/>
    <col min="15560" max="15560" width="10.08984375" style="60" customWidth="1"/>
    <col min="15561" max="15569" width="13.453125" style="60" customWidth="1"/>
    <col min="15570" max="15570" width="7.54296875" style="60" customWidth="1"/>
    <col min="15571" max="15571" width="7.7265625" style="60" customWidth="1"/>
    <col min="15572" max="15572" width="13.453125" style="60" customWidth="1"/>
    <col min="15573" max="15573" width="6.453125" style="60" bestFit="1" customWidth="1"/>
    <col min="15574" max="15574" width="7.54296875" style="60" customWidth="1"/>
    <col min="15575" max="15582" width="13.453125" style="60" customWidth="1"/>
    <col min="15583" max="15583" width="11.7265625" style="60" customWidth="1"/>
    <col min="15584" max="15584" width="9" style="60" bestFit="1" customWidth="1"/>
    <col min="15585" max="15585" width="13.453125" style="60" customWidth="1"/>
    <col min="15586" max="15586" width="12.08984375" style="60" bestFit="1" customWidth="1"/>
    <col min="15587" max="15587" width="15.08984375" style="60" customWidth="1"/>
    <col min="15588" max="15591" width="13.453125" style="60" customWidth="1"/>
    <col min="15592" max="15592" width="10.08984375" style="60" customWidth="1"/>
    <col min="15593" max="15593" width="13.453125" style="60" customWidth="1"/>
    <col min="15594" max="15594" width="10.54296875" style="60" bestFit="1" customWidth="1"/>
    <col min="15595" max="15806" width="8.7265625" style="60"/>
    <col min="15807" max="15807" width="6.7265625" style="60" customWidth="1"/>
    <col min="15808" max="15808" width="23.54296875" style="60" customWidth="1"/>
    <col min="15809" max="15809" width="8.36328125" style="60" customWidth="1"/>
    <col min="15810" max="15813" width="13.453125" style="60" customWidth="1"/>
    <col min="15814" max="15814" width="5" style="60" customWidth="1"/>
    <col min="15815" max="15815" width="13.453125" style="60" customWidth="1"/>
    <col min="15816" max="15816" width="10.08984375" style="60" customWidth="1"/>
    <col min="15817" max="15825" width="13.453125" style="60" customWidth="1"/>
    <col min="15826" max="15826" width="7.54296875" style="60" customWidth="1"/>
    <col min="15827" max="15827" width="7.7265625" style="60" customWidth="1"/>
    <col min="15828" max="15828" width="13.453125" style="60" customWidth="1"/>
    <col min="15829" max="15829" width="6.453125" style="60" bestFit="1" customWidth="1"/>
    <col min="15830" max="15830" width="7.54296875" style="60" customWidth="1"/>
    <col min="15831" max="15838" width="13.453125" style="60" customWidth="1"/>
    <col min="15839" max="15839" width="11.7265625" style="60" customWidth="1"/>
    <col min="15840" max="15840" width="9" style="60" bestFit="1" customWidth="1"/>
    <col min="15841" max="15841" width="13.453125" style="60" customWidth="1"/>
    <col min="15842" max="15842" width="12.08984375" style="60" bestFit="1" customWidth="1"/>
    <col min="15843" max="15843" width="15.08984375" style="60" customWidth="1"/>
    <col min="15844" max="15847" width="13.453125" style="60" customWidth="1"/>
    <col min="15848" max="15848" width="10.08984375" style="60" customWidth="1"/>
    <col min="15849" max="15849" width="13.453125" style="60" customWidth="1"/>
    <col min="15850" max="15850" width="10.54296875" style="60" bestFit="1" customWidth="1"/>
    <col min="15851" max="16062" width="8.7265625" style="60"/>
    <col min="16063" max="16063" width="6.7265625" style="60" customWidth="1"/>
    <col min="16064" max="16064" width="23.54296875" style="60" customWidth="1"/>
    <col min="16065" max="16065" width="8.36328125" style="60" customWidth="1"/>
    <col min="16066" max="16069" width="13.453125" style="60" customWidth="1"/>
    <col min="16070" max="16070" width="5" style="60" customWidth="1"/>
    <col min="16071" max="16071" width="13.453125" style="60" customWidth="1"/>
    <col min="16072" max="16072" width="10.08984375" style="60" customWidth="1"/>
    <col min="16073" max="16081" width="13.453125" style="60" customWidth="1"/>
    <col min="16082" max="16082" width="7.54296875" style="60" customWidth="1"/>
    <col min="16083" max="16083" width="7.7265625" style="60" customWidth="1"/>
    <col min="16084" max="16084" width="13.453125" style="60" customWidth="1"/>
    <col min="16085" max="16085" width="6.453125" style="60" bestFit="1" customWidth="1"/>
    <col min="16086" max="16086" width="7.54296875" style="60" customWidth="1"/>
    <col min="16087" max="16094" width="13.453125" style="60" customWidth="1"/>
    <col min="16095" max="16095" width="11.7265625" style="60" customWidth="1"/>
    <col min="16096" max="16096" width="9" style="60" bestFit="1" customWidth="1"/>
    <col min="16097" max="16097" width="13.453125" style="60" customWidth="1"/>
    <col min="16098" max="16098" width="12.08984375" style="60" bestFit="1" customWidth="1"/>
    <col min="16099" max="16099" width="15.08984375" style="60" customWidth="1"/>
    <col min="16100" max="16103" width="13.453125" style="60" customWidth="1"/>
    <col min="16104" max="16104" width="10.08984375" style="60" customWidth="1"/>
    <col min="16105" max="16105" width="13.453125" style="60" customWidth="1"/>
    <col min="16106" max="16106" width="10.54296875" style="60" bestFit="1" customWidth="1"/>
    <col min="16107" max="16384" width="8.7265625" style="60"/>
  </cols>
  <sheetData>
    <row r="1" spans="1:21" ht="19" customHeight="1">
      <c r="A1" s="222" t="s">
        <v>3</v>
      </c>
      <c r="B1" s="222"/>
      <c r="C1" s="222"/>
      <c r="D1" s="222"/>
      <c r="E1" s="58"/>
      <c r="F1" s="99"/>
      <c r="G1" s="100"/>
      <c r="H1" s="100"/>
      <c r="I1" s="100"/>
      <c r="J1" s="99"/>
      <c r="K1" s="99"/>
      <c r="L1" s="99"/>
      <c r="M1" s="100"/>
      <c r="N1" s="100"/>
      <c r="O1" s="99"/>
      <c r="P1" s="94"/>
      <c r="Q1" s="94"/>
      <c r="R1" s="247" t="s">
        <v>250</v>
      </c>
      <c r="S1" s="247"/>
      <c r="T1" s="247"/>
    </row>
    <row r="2" spans="1:21" ht="18" customHeight="1">
      <c r="A2" s="223" t="s">
        <v>109</v>
      </c>
      <c r="B2" s="223"/>
      <c r="C2" s="223"/>
      <c r="D2" s="223"/>
      <c r="E2" s="61"/>
      <c r="F2" s="61"/>
      <c r="G2" s="59"/>
      <c r="H2" s="59"/>
      <c r="I2" s="59"/>
      <c r="J2" s="61"/>
      <c r="K2" s="61"/>
      <c r="L2" s="61"/>
      <c r="M2" s="59"/>
      <c r="N2" s="59"/>
      <c r="O2" s="61"/>
      <c r="P2" s="61"/>
      <c r="Q2" s="89"/>
      <c r="R2" s="61"/>
      <c r="S2" s="59"/>
      <c r="T2" s="59"/>
    </row>
    <row r="3" spans="1:21" ht="28" customHeight="1">
      <c r="A3" s="238" t="s">
        <v>208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</row>
    <row r="4" spans="1:21" ht="19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165" t="s">
        <v>4</v>
      </c>
      <c r="S4" s="59"/>
      <c r="T4" s="59"/>
    </row>
    <row r="5" spans="1:21" ht="16" customHeight="1">
      <c r="A5" s="231" t="s">
        <v>5</v>
      </c>
      <c r="B5" s="231" t="s">
        <v>110</v>
      </c>
      <c r="C5" s="231" t="s">
        <v>111</v>
      </c>
      <c r="D5" s="232" t="s">
        <v>67</v>
      </c>
      <c r="E5" s="233"/>
      <c r="F5" s="233"/>
      <c r="G5" s="233"/>
      <c r="H5" s="234"/>
      <c r="I5" s="232" t="s">
        <v>66</v>
      </c>
      <c r="J5" s="233"/>
      <c r="K5" s="233"/>
      <c r="L5" s="233"/>
      <c r="M5" s="234"/>
      <c r="N5" s="239" t="s">
        <v>200</v>
      </c>
      <c r="O5" s="240"/>
      <c r="P5" s="240"/>
      <c r="Q5" s="240"/>
      <c r="R5" s="240"/>
      <c r="S5" s="240"/>
      <c r="T5" s="241"/>
    </row>
    <row r="6" spans="1:21" ht="20" hidden="1" customHeight="1">
      <c r="A6" s="231"/>
      <c r="B6" s="231"/>
      <c r="C6" s="231"/>
      <c r="D6" s="235"/>
      <c r="E6" s="236"/>
      <c r="F6" s="236"/>
      <c r="G6" s="236"/>
      <c r="H6" s="237"/>
      <c r="I6" s="235"/>
      <c r="J6" s="236"/>
      <c r="K6" s="236"/>
      <c r="L6" s="236"/>
      <c r="M6" s="237"/>
      <c r="N6" s="235"/>
      <c r="O6" s="236"/>
      <c r="P6" s="236"/>
      <c r="Q6" s="236"/>
      <c r="R6" s="236"/>
      <c r="S6" s="236"/>
      <c r="T6" s="237"/>
    </row>
    <row r="7" spans="1:21" ht="18.5" customHeight="1">
      <c r="A7" s="231"/>
      <c r="B7" s="231"/>
      <c r="C7" s="231"/>
      <c r="D7" s="242" t="s">
        <v>141</v>
      </c>
      <c r="E7" s="249" t="s">
        <v>8</v>
      </c>
      <c r="F7" s="249"/>
      <c r="G7" s="249" t="s">
        <v>9</v>
      </c>
      <c r="H7" s="249"/>
      <c r="I7" s="242" t="s">
        <v>141</v>
      </c>
      <c r="J7" s="249" t="s">
        <v>8</v>
      </c>
      <c r="K7" s="249"/>
      <c r="L7" s="249" t="s">
        <v>9</v>
      </c>
      <c r="M7" s="249"/>
      <c r="N7" s="242" t="s">
        <v>115</v>
      </c>
      <c r="O7" s="244" t="s">
        <v>8</v>
      </c>
      <c r="P7" s="245"/>
      <c r="Q7" s="246"/>
      <c r="R7" s="244" t="s">
        <v>9</v>
      </c>
      <c r="S7" s="245"/>
      <c r="T7" s="246"/>
    </row>
    <row r="8" spans="1:21" ht="71.5" customHeight="1">
      <c r="A8" s="231"/>
      <c r="B8" s="231"/>
      <c r="C8" s="231"/>
      <c r="D8" s="243"/>
      <c r="E8" s="66" t="s">
        <v>11</v>
      </c>
      <c r="F8" s="78" t="s">
        <v>114</v>
      </c>
      <c r="G8" s="66" t="s">
        <v>11</v>
      </c>
      <c r="H8" s="78" t="s">
        <v>114</v>
      </c>
      <c r="I8" s="243"/>
      <c r="J8" s="90" t="s">
        <v>11</v>
      </c>
      <c r="K8" s="90" t="s">
        <v>114</v>
      </c>
      <c r="L8" s="90" t="s">
        <v>11</v>
      </c>
      <c r="M8" s="90" t="s">
        <v>114</v>
      </c>
      <c r="N8" s="243"/>
      <c r="O8" s="66" t="s">
        <v>11</v>
      </c>
      <c r="P8" s="78" t="s">
        <v>115</v>
      </c>
      <c r="Q8" s="158" t="s">
        <v>201</v>
      </c>
      <c r="R8" s="91" t="s">
        <v>11</v>
      </c>
      <c r="S8" s="91" t="s">
        <v>115</v>
      </c>
      <c r="T8" s="158" t="s">
        <v>201</v>
      </c>
    </row>
    <row r="9" spans="1:21" ht="14" customHeight="1">
      <c r="A9" s="62" t="s">
        <v>2</v>
      </c>
      <c r="B9" s="62" t="s">
        <v>1</v>
      </c>
      <c r="C9" s="62" t="s">
        <v>112</v>
      </c>
      <c r="D9" s="62" t="s">
        <v>143</v>
      </c>
      <c r="E9" s="62">
        <v>2</v>
      </c>
      <c r="F9" s="62">
        <v>3</v>
      </c>
      <c r="G9" s="62">
        <v>4</v>
      </c>
      <c r="H9" s="62">
        <v>5</v>
      </c>
      <c r="I9" s="62" t="s">
        <v>144</v>
      </c>
      <c r="J9" s="62">
        <v>7</v>
      </c>
      <c r="K9" s="62">
        <v>8</v>
      </c>
      <c r="L9" s="62">
        <v>9</v>
      </c>
      <c r="M9" s="62">
        <v>10</v>
      </c>
      <c r="N9" s="62" t="s">
        <v>145</v>
      </c>
      <c r="O9" s="62">
        <v>12</v>
      </c>
      <c r="P9" s="62">
        <v>13</v>
      </c>
      <c r="Q9" s="95" t="s">
        <v>146</v>
      </c>
      <c r="R9" s="62">
        <v>15</v>
      </c>
      <c r="S9" s="62">
        <v>16</v>
      </c>
      <c r="T9" s="95" t="s">
        <v>147</v>
      </c>
    </row>
    <row r="10" spans="1:21" ht="14" customHeight="1">
      <c r="A10" s="52">
        <v>1</v>
      </c>
      <c r="B10" s="53" t="s">
        <v>13</v>
      </c>
      <c r="C10" s="52" t="s">
        <v>70</v>
      </c>
      <c r="D10" s="54">
        <f>F10+H10</f>
        <v>527229.03928899998</v>
      </c>
      <c r="E10" s="54">
        <v>81190</v>
      </c>
      <c r="F10" s="54">
        <v>424079.75319301395</v>
      </c>
      <c r="G10" s="54">
        <v>197986</v>
      </c>
      <c r="H10" s="54">
        <v>103149.286095986</v>
      </c>
      <c r="I10" s="54">
        <f>K10+M10</f>
        <v>484610.87847900001</v>
      </c>
      <c r="J10" s="54">
        <v>69091</v>
      </c>
      <c r="K10" s="54">
        <v>381209.64256155002</v>
      </c>
      <c r="L10" s="54">
        <v>176921</v>
      </c>
      <c r="M10" s="54">
        <v>103401.23591745</v>
      </c>
      <c r="N10" s="54">
        <f>P10+S10</f>
        <v>506040.31107022485</v>
      </c>
      <c r="O10" s="54">
        <f>ChiKCB_2021!P9</f>
        <v>63406</v>
      </c>
      <c r="P10" s="54">
        <f>(K10/J10*O10)+Giatang2021!N10</f>
        <v>408138.00034778251</v>
      </c>
      <c r="Q10" s="96">
        <f>(P10/O10)*1000000</f>
        <v>6436898.7216948317</v>
      </c>
      <c r="R10" s="54">
        <f>ChiKCB_2021!R9</f>
        <v>156897</v>
      </c>
      <c r="S10" s="54">
        <f>(M10/L10*R10)+Giatang2021!L10</f>
        <v>97902.310722442344</v>
      </c>
      <c r="T10" s="96">
        <f>(S10/R10)*1000000</f>
        <v>623990.96682818886</v>
      </c>
      <c r="U10" s="155"/>
    </row>
    <row r="11" spans="1:21" ht="14" customHeight="1">
      <c r="A11" s="52">
        <v>2</v>
      </c>
      <c r="B11" s="53" t="s">
        <v>14</v>
      </c>
      <c r="C11" s="52" t="s">
        <v>71</v>
      </c>
      <c r="D11" s="54">
        <f t="shared" ref="D11:D43" si="0">F11+H11</f>
        <v>86638.617388999992</v>
      </c>
      <c r="E11" s="54">
        <v>21991</v>
      </c>
      <c r="F11" s="54">
        <v>55454.71911947702</v>
      </c>
      <c r="G11" s="54">
        <v>172977</v>
      </c>
      <c r="H11" s="54">
        <v>31183.898269522979</v>
      </c>
      <c r="I11" s="54">
        <f t="shared" ref="I11:I43" si="1">K11+M11</f>
        <v>75389.820124000005</v>
      </c>
      <c r="J11" s="54">
        <v>18025</v>
      </c>
      <c r="K11" s="54">
        <v>45557.030636007948</v>
      </c>
      <c r="L11" s="54">
        <v>164377</v>
      </c>
      <c r="M11" s="54">
        <v>29832.789487992053</v>
      </c>
      <c r="N11" s="54">
        <f t="shared" ref="N11:N43" si="2">P11+S11</f>
        <v>66187.846168686563</v>
      </c>
      <c r="O11" s="54">
        <f>ChiKCB_2021!P10</f>
        <v>14945</v>
      </c>
      <c r="P11" s="54">
        <f>(K11/J11*O11)+Giatang2021!N11</f>
        <v>39139.239232818865</v>
      </c>
      <c r="Q11" s="96">
        <f t="shared" ref="Q11:Q39" si="3">(P11/O11)*1000000</f>
        <v>2618885.1945680073</v>
      </c>
      <c r="R11" s="54">
        <f>ChiKCB_2021!R10</f>
        <v>144105</v>
      </c>
      <c r="S11" s="54">
        <f>(M11/L11*R11)+Giatang2021!L11</f>
        <v>27048.606935867701</v>
      </c>
      <c r="T11" s="96">
        <f t="shared" ref="T11:T43" si="4">(S11/R11)*1000000</f>
        <v>187700.68308433227</v>
      </c>
      <c r="U11" s="155"/>
    </row>
    <row r="12" spans="1:21" ht="14" customHeight="1">
      <c r="A12" s="52">
        <v>3</v>
      </c>
      <c r="B12" s="53" t="s">
        <v>15</v>
      </c>
      <c r="C12" s="52" t="s">
        <v>72</v>
      </c>
      <c r="D12" s="54">
        <f t="shared" si="0"/>
        <v>35237.083120999996</v>
      </c>
      <c r="E12" s="54">
        <v>12491</v>
      </c>
      <c r="F12" s="54">
        <v>16306.371964748563</v>
      </c>
      <c r="G12" s="54">
        <v>162617</v>
      </c>
      <c r="H12" s="54">
        <v>18930.711156251433</v>
      </c>
      <c r="I12" s="54">
        <f t="shared" si="1"/>
        <v>32670.969786000001</v>
      </c>
      <c r="J12" s="54">
        <v>11174</v>
      </c>
      <c r="K12" s="54">
        <v>15010.061017831071</v>
      </c>
      <c r="L12" s="54">
        <v>145692</v>
      </c>
      <c r="M12" s="54">
        <v>17660.908768168931</v>
      </c>
      <c r="N12" s="54">
        <f t="shared" si="2"/>
        <v>29943.943349172208</v>
      </c>
      <c r="O12" s="54">
        <f>ChiKCB_2021!P11</f>
        <v>9576</v>
      </c>
      <c r="P12" s="54">
        <f>(K12/J12*O12)+Giatang2021!N12</f>
        <v>13613.966833489578</v>
      </c>
      <c r="Q12" s="96">
        <f t="shared" si="3"/>
        <v>1421675.7344913927</v>
      </c>
      <c r="R12" s="54">
        <f>ChiKCB_2021!R11</f>
        <v>127428</v>
      </c>
      <c r="S12" s="54">
        <f>(M12/L12*R12)+Giatang2021!L12</f>
        <v>16329.976515682631</v>
      </c>
      <c r="T12" s="96">
        <f t="shared" si="4"/>
        <v>128150.61458770938</v>
      </c>
      <c r="U12" s="155"/>
    </row>
    <row r="13" spans="1:21" ht="14" customHeight="1">
      <c r="A13" s="52">
        <v>4</v>
      </c>
      <c r="B13" s="53" t="s">
        <v>16</v>
      </c>
      <c r="C13" s="52" t="s">
        <v>73</v>
      </c>
      <c r="D13" s="54">
        <f t="shared" si="0"/>
        <v>51654.548711000003</v>
      </c>
      <c r="E13" s="54">
        <v>23385</v>
      </c>
      <c r="F13" s="54">
        <v>30786.075272147249</v>
      </c>
      <c r="G13" s="54">
        <v>198111</v>
      </c>
      <c r="H13" s="54">
        <v>20868.473438852754</v>
      </c>
      <c r="I13" s="54">
        <f t="shared" si="1"/>
        <v>48397.882557999998</v>
      </c>
      <c r="J13" s="54">
        <v>20875</v>
      </c>
      <c r="K13" s="54">
        <v>28002.484438472638</v>
      </c>
      <c r="L13" s="54">
        <v>175027</v>
      </c>
      <c r="M13" s="54">
        <v>20395.398119527359</v>
      </c>
      <c r="N13" s="54">
        <f t="shared" si="2"/>
        <v>41544.014661676323</v>
      </c>
      <c r="O13" s="54">
        <f>ChiKCB_2021!P12</f>
        <v>17054</v>
      </c>
      <c r="P13" s="54">
        <f>(K13/J13*O13)+Giatang2021!N13</f>
        <v>24276.980251323024</v>
      </c>
      <c r="Q13" s="96">
        <f t="shared" si="3"/>
        <v>1423535.8421087735</v>
      </c>
      <c r="R13" s="54">
        <f>ChiKCB_2021!R12</f>
        <v>139429</v>
      </c>
      <c r="S13" s="54">
        <f>(M13/L13*R13)+Giatang2021!L13</f>
        <v>17267.034410353295</v>
      </c>
      <c r="T13" s="96">
        <f t="shared" si="4"/>
        <v>123841.05466117735</v>
      </c>
      <c r="U13" s="155"/>
    </row>
    <row r="14" spans="1:21" ht="14" customHeight="1">
      <c r="A14" s="52">
        <v>5</v>
      </c>
      <c r="B14" s="53" t="s">
        <v>17</v>
      </c>
      <c r="C14" s="52" t="s">
        <v>74</v>
      </c>
      <c r="D14" s="54">
        <f t="shared" si="0"/>
        <v>52600.717270000001</v>
      </c>
      <c r="E14" s="54">
        <v>13120</v>
      </c>
      <c r="F14" s="54">
        <v>22339.348058985543</v>
      </c>
      <c r="G14" s="54">
        <v>262867</v>
      </c>
      <c r="H14" s="54">
        <v>30261.369211014458</v>
      </c>
      <c r="I14" s="54">
        <f t="shared" si="1"/>
        <v>45569.547107999999</v>
      </c>
      <c r="J14" s="54">
        <v>11027</v>
      </c>
      <c r="K14" s="54">
        <v>18984.516720956333</v>
      </c>
      <c r="L14" s="54">
        <v>235304</v>
      </c>
      <c r="M14" s="54">
        <v>26585.030387043666</v>
      </c>
      <c r="N14" s="54">
        <f t="shared" si="2"/>
        <v>42870.609068818361</v>
      </c>
      <c r="O14" s="54">
        <f>ChiKCB_2021!P13</f>
        <v>9994</v>
      </c>
      <c r="P14" s="54">
        <f>(K14/J14*O14)+Giatang2021!N14</f>
        <v>18155.289145128943</v>
      </c>
      <c r="Q14" s="96">
        <f t="shared" si="3"/>
        <v>1816618.8858444011</v>
      </c>
      <c r="R14" s="54">
        <f>ChiKCB_2021!R13</f>
        <v>206990</v>
      </c>
      <c r="S14" s="54">
        <f>(M14/L14*R14)+Giatang2021!L14</f>
        <v>24715.319923689418</v>
      </c>
      <c r="T14" s="96">
        <f t="shared" si="4"/>
        <v>119403.44907333406</v>
      </c>
      <c r="U14" s="155"/>
    </row>
    <row r="15" spans="1:21" ht="14" customHeight="1">
      <c r="A15" s="52">
        <v>6</v>
      </c>
      <c r="B15" s="53" t="s">
        <v>18</v>
      </c>
      <c r="C15" s="52" t="s">
        <v>75</v>
      </c>
      <c r="D15" s="54">
        <f t="shared" si="0"/>
        <v>34318.309935000005</v>
      </c>
      <c r="E15" s="54">
        <v>11180</v>
      </c>
      <c r="F15" s="54">
        <v>15997.19622460459</v>
      </c>
      <c r="G15" s="54">
        <v>147909</v>
      </c>
      <c r="H15" s="54">
        <v>18321.113710395413</v>
      </c>
      <c r="I15" s="54">
        <f t="shared" si="1"/>
        <v>30918.647965999997</v>
      </c>
      <c r="J15" s="54">
        <v>9288</v>
      </c>
      <c r="K15" s="54">
        <v>13231.985984943656</v>
      </c>
      <c r="L15" s="54">
        <v>136814</v>
      </c>
      <c r="M15" s="54">
        <v>17686.661981056342</v>
      </c>
      <c r="N15" s="54">
        <f t="shared" si="2"/>
        <v>28351.816720162049</v>
      </c>
      <c r="O15" s="54">
        <f>ChiKCB_2021!P14</f>
        <v>7749</v>
      </c>
      <c r="P15" s="54">
        <f>(K15/J15*O15)+Giatang2021!N15</f>
        <v>11701.075978546105</v>
      </c>
      <c r="Q15" s="96">
        <f t="shared" si="3"/>
        <v>1510011.0954376184</v>
      </c>
      <c r="R15" s="54">
        <f>ChiKCB_2021!R14</f>
        <v>121960</v>
      </c>
      <c r="S15" s="54">
        <f>(M15/L15*R15)+Giatang2021!L15</f>
        <v>16650.740741615944</v>
      </c>
      <c r="T15" s="96">
        <f t="shared" si="4"/>
        <v>136526.24419166896</v>
      </c>
      <c r="U15" s="155"/>
    </row>
    <row r="16" spans="1:21" ht="14" customHeight="1">
      <c r="A16" s="52">
        <v>7</v>
      </c>
      <c r="B16" s="53" t="s">
        <v>76</v>
      </c>
      <c r="C16" s="52" t="s">
        <v>77</v>
      </c>
      <c r="D16" s="54">
        <f t="shared" si="0"/>
        <v>26492.763457000001</v>
      </c>
      <c r="E16" s="54">
        <v>9846</v>
      </c>
      <c r="F16" s="54">
        <v>15745.165050429836</v>
      </c>
      <c r="G16" s="54">
        <v>104709</v>
      </c>
      <c r="H16" s="54">
        <v>10747.598406570163</v>
      </c>
      <c r="I16" s="54">
        <f t="shared" si="1"/>
        <v>22234.098975000001</v>
      </c>
      <c r="J16" s="54">
        <v>7925</v>
      </c>
      <c r="K16" s="54">
        <v>13130.596390114873</v>
      </c>
      <c r="L16" s="54">
        <v>86226</v>
      </c>
      <c r="M16" s="54">
        <v>9103.5025848851255</v>
      </c>
      <c r="N16" s="54">
        <f t="shared" si="2"/>
        <v>19909.833463881645</v>
      </c>
      <c r="O16" s="54">
        <f>ChiKCB_2021!P15</f>
        <v>6864</v>
      </c>
      <c r="P16" s="54">
        <f>(K16/J16*O16)+Giatang2021!N16</f>
        <v>12029.200308054449</v>
      </c>
      <c r="Q16" s="96">
        <f t="shared" si="3"/>
        <v>1752505.8723855549</v>
      </c>
      <c r="R16" s="54">
        <f>ChiKCB_2021!R15</f>
        <v>70332</v>
      </c>
      <c r="S16" s="54">
        <f>(M16/L16*R16)+Giatang2021!L16</f>
        <v>7880.6331558271968</v>
      </c>
      <c r="T16" s="96">
        <f t="shared" si="4"/>
        <v>112049.04105993283</v>
      </c>
      <c r="U16" s="155"/>
    </row>
    <row r="17" spans="1:21" ht="14" customHeight="1">
      <c r="A17" s="52">
        <v>8</v>
      </c>
      <c r="B17" s="53" t="s">
        <v>20</v>
      </c>
      <c r="C17" s="52" t="s">
        <v>78</v>
      </c>
      <c r="D17" s="54">
        <f t="shared" si="0"/>
        <v>19842.910408</v>
      </c>
      <c r="E17" s="54">
        <v>7994</v>
      </c>
      <c r="F17" s="54">
        <v>11663.513022679503</v>
      </c>
      <c r="G17" s="54">
        <v>76226</v>
      </c>
      <c r="H17" s="54">
        <v>8179.397385320498</v>
      </c>
      <c r="I17" s="54">
        <f t="shared" si="1"/>
        <v>17907.278234999998</v>
      </c>
      <c r="J17" s="54">
        <v>6568</v>
      </c>
      <c r="K17" s="54">
        <v>9688.1410360049413</v>
      </c>
      <c r="L17" s="54">
        <v>71592</v>
      </c>
      <c r="M17" s="54">
        <v>8219.1371989950585</v>
      </c>
      <c r="N17" s="54">
        <f t="shared" si="2"/>
        <v>16947.799538375966</v>
      </c>
      <c r="O17" s="54">
        <f>ChiKCB_2021!P16</f>
        <v>5938</v>
      </c>
      <c r="P17" s="54">
        <f>(K17/J17*O17)+Giatang2021!N17</f>
        <v>9243.2653757645185</v>
      </c>
      <c r="Q17" s="96">
        <f t="shared" si="3"/>
        <v>1556629.3997582549</v>
      </c>
      <c r="R17" s="54">
        <f>ChiKCB_2021!R16</f>
        <v>63530</v>
      </c>
      <c r="S17" s="54">
        <f>(M17/L17*R17)+Giatang2021!L17</f>
        <v>7704.5341626114478</v>
      </c>
      <c r="T17" s="96">
        <f t="shared" si="4"/>
        <v>121273.95187488505</v>
      </c>
      <c r="U17" s="155"/>
    </row>
    <row r="18" spans="1:21" ht="14" customHeight="1">
      <c r="A18" s="52">
        <v>9</v>
      </c>
      <c r="B18" s="53" t="s">
        <v>21</v>
      </c>
      <c r="C18" s="52" t="s">
        <v>79</v>
      </c>
      <c r="D18" s="54">
        <f t="shared" si="0"/>
        <v>38471.957537000002</v>
      </c>
      <c r="E18" s="54">
        <v>13259</v>
      </c>
      <c r="F18" s="54">
        <v>21802.94983552357</v>
      </c>
      <c r="G18" s="54">
        <v>116924</v>
      </c>
      <c r="H18" s="54">
        <v>16669.007701476432</v>
      </c>
      <c r="I18" s="54">
        <f t="shared" si="1"/>
        <v>35901.289732000005</v>
      </c>
      <c r="J18" s="54">
        <v>12693</v>
      </c>
      <c r="K18" s="54">
        <v>18856.835262934612</v>
      </c>
      <c r="L18" s="54">
        <v>108853</v>
      </c>
      <c r="M18" s="54">
        <v>17044.454469065389</v>
      </c>
      <c r="N18" s="54">
        <f t="shared" si="2"/>
        <v>33838.801176427529</v>
      </c>
      <c r="O18" s="54">
        <f>ChiKCB_2021!P17</f>
        <v>10897</v>
      </c>
      <c r="P18" s="54">
        <f>(K18/J18*O18)+Giatang2021!N18</f>
        <v>17131.523230112653</v>
      </c>
      <c r="Q18" s="96">
        <f t="shared" si="3"/>
        <v>1572132.0758110171</v>
      </c>
      <c r="R18" s="54">
        <f>ChiKCB_2021!R17</f>
        <v>101257</v>
      </c>
      <c r="S18" s="54">
        <f>(M18/L18*R18)+Giatang2021!L18</f>
        <v>16707.277946314873</v>
      </c>
      <c r="T18" s="96">
        <f t="shared" si="4"/>
        <v>164998.74523553799</v>
      </c>
      <c r="U18" s="155"/>
    </row>
    <row r="19" spans="1:21" ht="14" customHeight="1">
      <c r="A19" s="52">
        <v>10</v>
      </c>
      <c r="B19" s="53" t="s">
        <v>22</v>
      </c>
      <c r="C19" s="52" t="s">
        <v>80</v>
      </c>
      <c r="D19" s="54">
        <f t="shared" si="0"/>
        <v>7422.0304230000002</v>
      </c>
      <c r="E19" s="54">
        <v>2983</v>
      </c>
      <c r="F19" s="54">
        <v>3610.9726294121738</v>
      </c>
      <c r="G19" s="54">
        <v>35571</v>
      </c>
      <c r="H19" s="54">
        <v>3811.0577935878264</v>
      </c>
      <c r="I19" s="54">
        <f t="shared" si="1"/>
        <v>6940.4577300000001</v>
      </c>
      <c r="J19" s="54">
        <v>2615</v>
      </c>
      <c r="K19" s="54">
        <v>3417.7560708606279</v>
      </c>
      <c r="L19" s="54">
        <v>32387</v>
      </c>
      <c r="M19" s="54">
        <v>3522.7016591393717</v>
      </c>
      <c r="N19" s="54">
        <f t="shared" si="2"/>
        <v>6213.5637130014511</v>
      </c>
      <c r="O19" s="54">
        <f>ChiKCB_2021!P18</f>
        <v>2231</v>
      </c>
      <c r="P19" s="54">
        <f>(K19/J19*O19)+Giatang2021!N19</f>
        <v>3018.4079379919986</v>
      </c>
      <c r="Q19" s="96">
        <f t="shared" si="3"/>
        <v>1352939.4612245625</v>
      </c>
      <c r="R19" s="54">
        <f>ChiKCB_2021!R18</f>
        <v>28404</v>
      </c>
      <c r="S19" s="54">
        <f>(M19/L19*R19)+Giatang2021!L19</f>
        <v>3195.1557750094521</v>
      </c>
      <c r="T19" s="96">
        <f t="shared" si="4"/>
        <v>112489.64142407592</v>
      </c>
      <c r="U19" s="155"/>
    </row>
    <row r="20" spans="1:21" ht="14" customHeight="1">
      <c r="A20" s="52">
        <v>11</v>
      </c>
      <c r="B20" s="53" t="s">
        <v>23</v>
      </c>
      <c r="C20" s="52" t="s">
        <v>81</v>
      </c>
      <c r="D20" s="54">
        <f t="shared" si="0"/>
        <v>17035.952574999999</v>
      </c>
      <c r="E20" s="54">
        <v>6817</v>
      </c>
      <c r="F20" s="54">
        <v>10565.536700791938</v>
      </c>
      <c r="G20" s="54">
        <v>58772</v>
      </c>
      <c r="H20" s="54">
        <v>6470.4158742080608</v>
      </c>
      <c r="I20" s="54">
        <f t="shared" si="1"/>
        <v>16963.993741999999</v>
      </c>
      <c r="J20" s="54">
        <v>6708</v>
      </c>
      <c r="K20" s="54">
        <v>10288.533275832353</v>
      </c>
      <c r="L20" s="54">
        <v>56974</v>
      </c>
      <c r="M20" s="54">
        <v>6675.4604661676467</v>
      </c>
      <c r="N20" s="54">
        <f t="shared" si="2"/>
        <v>15280.063369171739</v>
      </c>
      <c r="O20" s="54">
        <f>ChiKCB_2021!P19</f>
        <v>5749</v>
      </c>
      <c r="P20" s="54">
        <f>(K20/J20*O20)+Giatang2021!N20</f>
        <v>9023.4179229346846</v>
      </c>
      <c r="Q20" s="96">
        <f t="shared" si="3"/>
        <v>1569563.0410392561</v>
      </c>
      <c r="R20" s="54">
        <f>ChiKCB_2021!R19</f>
        <v>52260</v>
      </c>
      <c r="S20" s="54">
        <f>(M20/L20*R20)+Giatang2021!L20</f>
        <v>6256.6454462370548</v>
      </c>
      <c r="T20" s="96">
        <f t="shared" si="4"/>
        <v>119721.49724908257</v>
      </c>
      <c r="U20" s="155"/>
    </row>
    <row r="21" spans="1:21" ht="14" customHeight="1">
      <c r="A21" s="52">
        <v>12</v>
      </c>
      <c r="B21" s="53" t="s">
        <v>24</v>
      </c>
      <c r="C21" s="52" t="s">
        <v>82</v>
      </c>
      <c r="D21" s="54">
        <f t="shared" si="0"/>
        <v>9113.3654989999995</v>
      </c>
      <c r="E21" s="54">
        <v>4848</v>
      </c>
      <c r="F21" s="54">
        <v>5677.5612732316267</v>
      </c>
      <c r="G21" s="54">
        <v>27829</v>
      </c>
      <c r="H21" s="54">
        <v>3435.8042257683733</v>
      </c>
      <c r="I21" s="54">
        <f t="shared" si="1"/>
        <v>7996.6873539999997</v>
      </c>
      <c r="J21" s="54">
        <v>3723</v>
      </c>
      <c r="K21" s="54">
        <v>4288.1470388514135</v>
      </c>
      <c r="L21" s="54">
        <v>27523</v>
      </c>
      <c r="M21" s="54">
        <v>3708.5403151485866</v>
      </c>
      <c r="N21" s="54">
        <f t="shared" si="2"/>
        <v>7084.7731205072132</v>
      </c>
      <c r="O21" s="54">
        <f>ChiKCB_2021!P20</f>
        <v>3271</v>
      </c>
      <c r="P21" s="54">
        <f>(K21/J21*O21)+Giatang2021!N21</f>
        <v>3853.2969091044451</v>
      </c>
      <c r="Q21" s="96">
        <f t="shared" si="3"/>
        <v>1178018.0095091548</v>
      </c>
      <c r="R21" s="54">
        <f>ChiKCB_2021!R20</f>
        <v>23432</v>
      </c>
      <c r="S21" s="54">
        <f>(M21/L21*R21)+Giatang2021!L21</f>
        <v>3231.4762114027681</v>
      </c>
      <c r="T21" s="96">
        <f t="shared" si="4"/>
        <v>137908.68092364154</v>
      </c>
      <c r="U21" s="155"/>
    </row>
    <row r="22" spans="1:21" ht="14" customHeight="1">
      <c r="A22" s="52">
        <v>13</v>
      </c>
      <c r="B22" s="53" t="s">
        <v>25</v>
      </c>
      <c r="C22" s="52" t="s">
        <v>83</v>
      </c>
      <c r="D22" s="54">
        <f t="shared" si="0"/>
        <v>92185.039080000002</v>
      </c>
      <c r="E22" s="54">
        <v>33979</v>
      </c>
      <c r="F22" s="54">
        <v>71049.275967316891</v>
      </c>
      <c r="G22" s="54">
        <v>142775</v>
      </c>
      <c r="H22" s="54">
        <v>21135.763112683115</v>
      </c>
      <c r="I22" s="54">
        <f t="shared" si="1"/>
        <v>84270.543007</v>
      </c>
      <c r="J22" s="54">
        <v>29570</v>
      </c>
      <c r="K22" s="54">
        <v>62904.128230295319</v>
      </c>
      <c r="L22" s="54">
        <v>134777</v>
      </c>
      <c r="M22" s="54">
        <v>21366.414776704682</v>
      </c>
      <c r="N22" s="54">
        <f t="shared" si="2"/>
        <v>83591.012651415993</v>
      </c>
      <c r="O22" s="54">
        <f>ChiKCB_2021!P21</f>
        <v>25807</v>
      </c>
      <c r="P22" s="54">
        <f>(K22/J22*O22)+Giatang2021!N22</f>
        <v>62526.026706990786</v>
      </c>
      <c r="Q22" s="96">
        <f t="shared" si="3"/>
        <v>2422832.0497148363</v>
      </c>
      <c r="R22" s="54">
        <f>ChiKCB_2021!R21</f>
        <v>124789</v>
      </c>
      <c r="S22" s="54">
        <f>(M22/L22*R22)+Giatang2021!L22</f>
        <v>21064.985944425207</v>
      </c>
      <c r="T22" s="96">
        <f t="shared" si="4"/>
        <v>168804.83010862503</v>
      </c>
      <c r="U22" s="155"/>
    </row>
    <row r="23" spans="1:21" ht="14" customHeight="1">
      <c r="A23" s="52">
        <v>14</v>
      </c>
      <c r="B23" s="53" t="s">
        <v>26</v>
      </c>
      <c r="C23" s="52" t="s">
        <v>84</v>
      </c>
      <c r="D23" s="54">
        <f t="shared" si="0"/>
        <v>8186.0159790000007</v>
      </c>
      <c r="E23" s="54">
        <v>3161</v>
      </c>
      <c r="F23" s="54">
        <v>5867.4933094671815</v>
      </c>
      <c r="G23" s="54">
        <v>12444</v>
      </c>
      <c r="H23" s="54">
        <v>2318.5226695328192</v>
      </c>
      <c r="I23" s="54">
        <f t="shared" si="1"/>
        <v>6451.7798009999997</v>
      </c>
      <c r="J23" s="54">
        <v>2190</v>
      </c>
      <c r="K23" s="54">
        <v>4485.7171489335906</v>
      </c>
      <c r="L23" s="54">
        <v>10235</v>
      </c>
      <c r="M23" s="54">
        <v>1966.0626520664093</v>
      </c>
      <c r="N23" s="54">
        <f t="shared" si="2"/>
        <v>7902.7095377177902</v>
      </c>
      <c r="O23" s="54">
        <f>ChiKCB_2021!P22</f>
        <v>1856</v>
      </c>
      <c r="P23" s="54">
        <f>(K23/J23*O23)+Giatang2021!N23</f>
        <v>6696.947420764116</v>
      </c>
      <c r="Q23" s="96">
        <f t="shared" si="3"/>
        <v>3608269.0844634245</v>
      </c>
      <c r="R23" s="54">
        <f>ChiKCB_2021!R22</f>
        <v>6277</v>
      </c>
      <c r="S23" s="54">
        <f>(M23/L23*R23)+Giatang2021!L23</f>
        <v>1205.7621169536737</v>
      </c>
      <c r="T23" s="96">
        <f t="shared" si="4"/>
        <v>192092.10083697209</v>
      </c>
      <c r="U23" s="155"/>
    </row>
    <row r="24" spans="1:21" ht="14" customHeight="1">
      <c r="A24" s="52">
        <v>15</v>
      </c>
      <c r="B24" s="53" t="s">
        <v>27</v>
      </c>
      <c r="C24" s="52" t="s">
        <v>85</v>
      </c>
      <c r="D24" s="54">
        <f t="shared" si="0"/>
        <v>10509.954459999999</v>
      </c>
      <c r="E24" s="54">
        <v>3388</v>
      </c>
      <c r="F24" s="54">
        <v>10150.984241195787</v>
      </c>
      <c r="G24" s="54">
        <v>2022</v>
      </c>
      <c r="H24" s="54">
        <v>358.97021880421175</v>
      </c>
      <c r="I24" s="54">
        <f t="shared" si="1"/>
        <v>9655.7086469999995</v>
      </c>
      <c r="J24" s="54">
        <v>2994</v>
      </c>
      <c r="K24" s="54">
        <v>9295.9044412310068</v>
      </c>
      <c r="L24" s="54">
        <v>1991</v>
      </c>
      <c r="M24" s="54">
        <v>359.80420576899297</v>
      </c>
      <c r="N24" s="54">
        <f t="shared" si="2"/>
        <v>10012.301823873613</v>
      </c>
      <c r="O24" s="54">
        <f>ChiKCB_2021!P23</f>
        <v>2501</v>
      </c>
      <c r="P24" s="54">
        <f>(K24/J24*O24)+Giatang2021!N24</f>
        <v>9714.8444041369166</v>
      </c>
      <c r="Q24" s="96">
        <f t="shared" si="3"/>
        <v>3884384.0080515458</v>
      </c>
      <c r="R24" s="54">
        <f>ChiKCB_2021!R23</f>
        <v>1646</v>
      </c>
      <c r="S24" s="54">
        <f>(M24/L24*R24)+Giatang2021!L24</f>
        <v>297.45741973669635</v>
      </c>
      <c r="T24" s="96">
        <f t="shared" si="4"/>
        <v>180715.32183274382</v>
      </c>
      <c r="U24" s="155"/>
    </row>
    <row r="25" spans="1:21" ht="14" customHeight="1">
      <c r="A25" s="52">
        <v>16</v>
      </c>
      <c r="B25" s="53" t="s">
        <v>28</v>
      </c>
      <c r="C25" s="52" t="s">
        <v>86</v>
      </c>
      <c r="D25" s="54">
        <f t="shared" si="0"/>
        <v>28336.367054000002</v>
      </c>
      <c r="E25" s="54">
        <v>5226</v>
      </c>
      <c r="F25" s="54">
        <v>27203.016850887205</v>
      </c>
      <c r="G25" s="54">
        <v>1714</v>
      </c>
      <c r="H25" s="54">
        <v>1133.3502031127964</v>
      </c>
      <c r="I25" s="54">
        <f t="shared" si="1"/>
        <v>21686.236231999996</v>
      </c>
      <c r="J25" s="54">
        <v>4253</v>
      </c>
      <c r="K25" s="54">
        <v>20311.844831405135</v>
      </c>
      <c r="L25" s="54">
        <v>3110</v>
      </c>
      <c r="M25" s="54">
        <v>1374.3914005948623</v>
      </c>
      <c r="N25" s="54">
        <f t="shared" si="2"/>
        <v>27514.598130654795</v>
      </c>
      <c r="O25" s="54">
        <f>ChiKCB_2021!P24</f>
        <v>3796</v>
      </c>
      <c r="P25" s="54">
        <f>(K25/J25*O25)+Giatang2021!N25</f>
        <v>25827.322771339303</v>
      </c>
      <c r="Q25" s="96">
        <f t="shared" si="3"/>
        <v>6803825.8090988677</v>
      </c>
      <c r="R25" s="54">
        <f>ChiKCB_2021!R24</f>
        <v>3818</v>
      </c>
      <c r="S25" s="54">
        <f>(M25/L25*R25)+Giatang2021!L25</f>
        <v>1687.2753593154932</v>
      </c>
      <c r="T25" s="96">
        <f t="shared" si="4"/>
        <v>441926.49536812288</v>
      </c>
      <c r="U25" s="155"/>
    </row>
    <row r="26" spans="1:21" ht="14" customHeight="1">
      <c r="A26" s="52">
        <v>17</v>
      </c>
      <c r="B26" s="53" t="s">
        <v>29</v>
      </c>
      <c r="C26" s="52" t="s">
        <v>87</v>
      </c>
      <c r="D26" s="54">
        <f t="shared" si="0"/>
        <v>12785.244982999999</v>
      </c>
      <c r="E26" s="54">
        <v>2116</v>
      </c>
      <c r="F26" s="54">
        <v>7439.7449504681454</v>
      </c>
      <c r="G26" s="54">
        <v>20199</v>
      </c>
      <c r="H26" s="54">
        <v>5345.5000325318533</v>
      </c>
      <c r="I26" s="54">
        <f t="shared" si="1"/>
        <v>12865.709817999999</v>
      </c>
      <c r="J26" s="54">
        <v>2053</v>
      </c>
      <c r="K26" s="54">
        <v>7343.4366040187469</v>
      </c>
      <c r="L26" s="54">
        <v>20630</v>
      </c>
      <c r="M26" s="54">
        <v>5522.2732139812524</v>
      </c>
      <c r="N26" s="54">
        <f t="shared" si="2"/>
        <v>15667.229211726408</v>
      </c>
      <c r="O26" s="54">
        <f>ChiKCB_2021!P25</f>
        <v>2118</v>
      </c>
      <c r="P26" s="54">
        <f>(K26/J26*O26)+Giatang2021!N26</f>
        <v>11111.822253145072</v>
      </c>
      <c r="Q26" s="96">
        <f t="shared" si="3"/>
        <v>5246375.0014849259</v>
      </c>
      <c r="R26" s="54">
        <f>ChiKCB_2021!R25</f>
        <v>17018</v>
      </c>
      <c r="S26" s="54">
        <f>(M26/L26*R26)+Giatang2021!L26</f>
        <v>4555.4069585813359</v>
      </c>
      <c r="T26" s="96">
        <f t="shared" si="4"/>
        <v>267681.68754150521</v>
      </c>
      <c r="U26" s="155"/>
    </row>
    <row r="27" spans="1:21" ht="14" customHeight="1">
      <c r="A27" s="52">
        <v>18</v>
      </c>
      <c r="B27" s="53" t="s">
        <v>30</v>
      </c>
      <c r="C27" s="52" t="s">
        <v>88</v>
      </c>
      <c r="D27" s="54">
        <f t="shared" si="0"/>
        <v>12371.663568</v>
      </c>
      <c r="E27" s="54">
        <v>3156</v>
      </c>
      <c r="F27" s="54">
        <v>11348.06897269378</v>
      </c>
      <c r="G27" s="54">
        <v>3381</v>
      </c>
      <c r="H27" s="54">
        <v>1023.5945953062204</v>
      </c>
      <c r="I27" s="54">
        <f t="shared" si="1"/>
        <v>12436.603425000001</v>
      </c>
      <c r="J27" s="54">
        <v>2859</v>
      </c>
      <c r="K27" s="54">
        <v>11263.894272811875</v>
      </c>
      <c r="L27" s="54">
        <v>3697</v>
      </c>
      <c r="M27" s="54">
        <v>1172.7091521881257</v>
      </c>
      <c r="N27" s="54">
        <f t="shared" si="2"/>
        <v>16006.33986365013</v>
      </c>
      <c r="O27" s="54">
        <f>ChiKCB_2021!P26</f>
        <v>2744</v>
      </c>
      <c r="P27" s="54">
        <f>(K27/J27*O27)+Giatang2021!N27</f>
        <v>15092.153286261388</v>
      </c>
      <c r="Q27" s="96">
        <f t="shared" si="3"/>
        <v>5500055.8623401551</v>
      </c>
      <c r="R27" s="54">
        <f>ChiKCB_2021!R26</f>
        <v>2882</v>
      </c>
      <c r="S27" s="54">
        <f>(M27/L27*R27)+Giatang2021!L27</f>
        <v>914.18657738874174</v>
      </c>
      <c r="T27" s="96">
        <f t="shared" si="4"/>
        <v>317205.61325077782</v>
      </c>
      <c r="U27" s="155"/>
    </row>
    <row r="28" spans="1:21" ht="14" customHeight="1">
      <c r="A28" s="52">
        <v>19</v>
      </c>
      <c r="B28" s="53" t="s">
        <v>31</v>
      </c>
      <c r="C28" s="52" t="s">
        <v>89</v>
      </c>
      <c r="D28" s="54">
        <f t="shared" si="0"/>
        <v>41183.283146000002</v>
      </c>
      <c r="E28" s="54">
        <v>11025</v>
      </c>
      <c r="F28" s="54">
        <v>38642.598891372269</v>
      </c>
      <c r="G28" s="54">
        <v>16763</v>
      </c>
      <c r="H28" s="54">
        <v>2540.6842546277317</v>
      </c>
      <c r="I28" s="54">
        <f t="shared" si="1"/>
        <v>40772.955584000003</v>
      </c>
      <c r="J28" s="54">
        <v>10088</v>
      </c>
      <c r="K28" s="54">
        <v>37782.09686331077</v>
      </c>
      <c r="L28" s="54">
        <v>16540</v>
      </c>
      <c r="M28" s="54">
        <v>2990.8587206892353</v>
      </c>
      <c r="N28" s="54">
        <f t="shared" si="2"/>
        <v>43793.685025816267</v>
      </c>
      <c r="O28" s="54">
        <f>ChiKCB_2021!P27</f>
        <v>8730</v>
      </c>
      <c r="P28" s="54">
        <f>(K28/J28*O28)+Giatang2021!N28</f>
        <v>41326.678645745938</v>
      </c>
      <c r="Q28" s="96">
        <f t="shared" si="3"/>
        <v>4733869.2606810927</v>
      </c>
      <c r="R28" s="54">
        <f>ChiKCB_2021!R27</f>
        <v>13643</v>
      </c>
      <c r="S28" s="54">
        <f>(M28/L28*R28)+Giatang2021!L28</f>
        <v>2467.0063800703288</v>
      </c>
      <c r="T28" s="96">
        <f t="shared" si="4"/>
        <v>180825.79931615692</v>
      </c>
      <c r="U28" s="155"/>
    </row>
    <row r="29" spans="1:21" ht="14" customHeight="1">
      <c r="A29" s="52">
        <v>20</v>
      </c>
      <c r="B29" s="53" t="s">
        <v>90</v>
      </c>
      <c r="C29" s="52" t="s">
        <v>91</v>
      </c>
      <c r="D29" s="54">
        <f t="shared" si="0"/>
        <v>62409.487342</v>
      </c>
      <c r="E29" s="54">
        <v>12622</v>
      </c>
      <c r="F29" s="54">
        <v>51717.847313369894</v>
      </c>
      <c r="G29" s="54">
        <v>47048</v>
      </c>
      <c r="H29" s="54">
        <v>10691.640028630107</v>
      </c>
      <c r="I29" s="54">
        <f t="shared" si="1"/>
        <v>42818.190149000002</v>
      </c>
      <c r="J29" s="54">
        <v>9554</v>
      </c>
      <c r="K29" s="54">
        <v>33323.986243367108</v>
      </c>
      <c r="L29" s="54">
        <v>40393</v>
      </c>
      <c r="M29" s="54">
        <v>9494.2039056328904</v>
      </c>
      <c r="N29" s="54">
        <f t="shared" si="2"/>
        <v>33497.526730031212</v>
      </c>
      <c r="O29" s="54">
        <f>ChiKCB_2021!P28</f>
        <v>7195</v>
      </c>
      <c r="P29" s="54">
        <f>(K29/J29*O29)+Giatang2021!N29</f>
        <v>27761.803452643569</v>
      </c>
      <c r="Q29" s="96">
        <f t="shared" si="3"/>
        <v>3858485.5389358681</v>
      </c>
      <c r="R29" s="54">
        <f>ChiKCB_2021!R28</f>
        <v>21979</v>
      </c>
      <c r="S29" s="54">
        <f>(M29/L29*R29)+Giatang2021!L29</f>
        <v>5735.7232773876422</v>
      </c>
      <c r="T29" s="96">
        <f t="shared" si="4"/>
        <v>260963.79623220538</v>
      </c>
      <c r="U29" s="155"/>
    </row>
    <row r="30" spans="1:21" ht="14" customHeight="1">
      <c r="A30" s="52">
        <v>21</v>
      </c>
      <c r="B30" s="53" t="s">
        <v>92</v>
      </c>
      <c r="C30" s="52" t="s">
        <v>93</v>
      </c>
      <c r="D30" s="54">
        <f t="shared" si="0"/>
        <v>25804.685725000003</v>
      </c>
      <c r="E30" s="54">
        <v>3980</v>
      </c>
      <c r="F30" s="54">
        <v>11108.317334180392</v>
      </c>
      <c r="G30" s="54">
        <v>74734</v>
      </c>
      <c r="H30" s="54">
        <v>14696.368390819609</v>
      </c>
      <c r="I30" s="54">
        <f t="shared" si="1"/>
        <v>23122.016735999998</v>
      </c>
      <c r="J30" s="54">
        <v>3358</v>
      </c>
      <c r="K30" s="54">
        <v>8925.3784185909899</v>
      </c>
      <c r="L30" s="54">
        <v>75492</v>
      </c>
      <c r="M30" s="54">
        <v>14196.63831740901</v>
      </c>
      <c r="N30" s="54">
        <f t="shared" si="2"/>
        <v>21504.247592718388</v>
      </c>
      <c r="O30" s="54">
        <f>ChiKCB_2021!P29</f>
        <v>3024</v>
      </c>
      <c r="P30" s="54">
        <f>(K30/J30*O30)+Giatang2021!N30</f>
        <v>8216.1324456258862</v>
      </c>
      <c r="Q30" s="96">
        <f t="shared" si="3"/>
        <v>2716975.0150879254</v>
      </c>
      <c r="R30" s="54">
        <f>ChiKCB_2021!R29</f>
        <v>69151</v>
      </c>
      <c r="S30" s="54">
        <f>(M30/L30*R30)+Giatang2021!L30</f>
        <v>13288.115147092502</v>
      </c>
      <c r="T30" s="96">
        <f t="shared" si="4"/>
        <v>192160.85301864764</v>
      </c>
      <c r="U30" s="155"/>
    </row>
    <row r="31" spans="1:21" ht="14" customHeight="1">
      <c r="A31" s="52">
        <v>22</v>
      </c>
      <c r="B31" s="53" t="s">
        <v>34</v>
      </c>
      <c r="C31" s="52" t="s">
        <v>94</v>
      </c>
      <c r="D31" s="54">
        <f t="shared" si="0"/>
        <v>1644.224375</v>
      </c>
      <c r="E31" s="54"/>
      <c r="F31" s="54">
        <v>0</v>
      </c>
      <c r="G31" s="54">
        <v>11643</v>
      </c>
      <c r="H31" s="54">
        <v>1644.224375</v>
      </c>
      <c r="I31" s="54">
        <f t="shared" si="1"/>
        <v>1476.966428</v>
      </c>
      <c r="J31" s="54"/>
      <c r="K31" s="54">
        <v>0</v>
      </c>
      <c r="L31" s="54">
        <v>10507</v>
      </c>
      <c r="M31" s="54">
        <v>1476.966428</v>
      </c>
      <c r="N31" s="54">
        <f t="shared" si="2"/>
        <v>1264.7257759603997</v>
      </c>
      <c r="O31" s="54">
        <f>ChiKCB_2021!P30</f>
        <v>0</v>
      </c>
      <c r="P31" s="54"/>
      <c r="Q31" s="96"/>
      <c r="R31" s="54">
        <f>ChiKCB_2021!R30</f>
        <v>8787</v>
      </c>
      <c r="S31" s="54">
        <f>(M31/L31*R31)+Giatang2021!L31</f>
        <v>1264.7257759603997</v>
      </c>
      <c r="T31" s="96">
        <f t="shared" si="4"/>
        <v>143931.46420398311</v>
      </c>
      <c r="U31" s="155"/>
    </row>
    <row r="32" spans="1:21" ht="14" customHeight="1">
      <c r="A32" s="52">
        <v>23</v>
      </c>
      <c r="B32" s="53" t="s">
        <v>95</v>
      </c>
      <c r="C32" s="52" t="s">
        <v>96</v>
      </c>
      <c r="D32" s="54">
        <f t="shared" si="0"/>
        <v>16764.500341999999</v>
      </c>
      <c r="E32" s="54"/>
      <c r="F32" s="54">
        <v>0</v>
      </c>
      <c r="G32" s="54">
        <v>141755</v>
      </c>
      <c r="H32" s="54">
        <v>16764.500341999999</v>
      </c>
      <c r="I32" s="54">
        <f t="shared" si="1"/>
        <v>15138.532111</v>
      </c>
      <c r="J32" s="54"/>
      <c r="K32" s="54">
        <v>0</v>
      </c>
      <c r="L32" s="54">
        <v>131662</v>
      </c>
      <c r="M32" s="54">
        <v>15138.532111</v>
      </c>
      <c r="N32" s="54">
        <f t="shared" si="2"/>
        <v>12805.23752236757</v>
      </c>
      <c r="O32" s="54">
        <f>ChiKCB_2021!P31</f>
        <v>0</v>
      </c>
      <c r="P32" s="54"/>
      <c r="Q32" s="96"/>
      <c r="R32" s="54">
        <f>ChiKCB_2021!R31</f>
        <v>111369</v>
      </c>
      <c r="S32" s="54">
        <f>(M32/L32*R32)+Giatang2021!L32</f>
        <v>12805.23752236757</v>
      </c>
      <c r="T32" s="96">
        <f t="shared" si="4"/>
        <v>114980.26849812399</v>
      </c>
      <c r="U32" s="155"/>
    </row>
    <row r="33" spans="1:21" ht="14" customHeight="1">
      <c r="A33" s="52">
        <v>24</v>
      </c>
      <c r="B33" s="53" t="s">
        <v>97</v>
      </c>
      <c r="C33" s="52" t="s">
        <v>98</v>
      </c>
      <c r="D33" s="54">
        <f t="shared" si="0"/>
        <v>12599.949841</v>
      </c>
      <c r="E33" s="54"/>
      <c r="F33" s="54">
        <v>0</v>
      </c>
      <c r="G33" s="54">
        <v>88991</v>
      </c>
      <c r="H33" s="54">
        <v>12599.949841</v>
      </c>
      <c r="I33" s="54">
        <f t="shared" si="1"/>
        <v>9610.4199540000009</v>
      </c>
      <c r="J33" s="54"/>
      <c r="K33" s="54">
        <v>0</v>
      </c>
      <c r="L33" s="54">
        <v>83726</v>
      </c>
      <c r="M33" s="54">
        <v>9610.4199540000009</v>
      </c>
      <c r="N33" s="54">
        <f t="shared" si="2"/>
        <v>8640.4936633459638</v>
      </c>
      <c r="O33" s="54">
        <f>ChiKCB_2021!P32</f>
        <v>0</v>
      </c>
      <c r="P33" s="54"/>
      <c r="Q33" s="96"/>
      <c r="R33" s="54">
        <f>ChiKCB_2021!R32</f>
        <v>75276</v>
      </c>
      <c r="S33" s="54">
        <f>(M33/L33*R33)+Giatang2021!L33</f>
        <v>8640.4936633459638</v>
      </c>
      <c r="T33" s="96">
        <f t="shared" si="4"/>
        <v>114784.17640876194</v>
      </c>
      <c r="U33" s="155"/>
    </row>
    <row r="34" spans="1:21" ht="14" customHeight="1">
      <c r="A34" s="52">
        <v>25</v>
      </c>
      <c r="B34" s="53" t="s">
        <v>99</v>
      </c>
      <c r="C34" s="52" t="s">
        <v>100</v>
      </c>
      <c r="D34" s="54">
        <f t="shared" si="0"/>
        <v>22739.585282</v>
      </c>
      <c r="E34" s="54"/>
      <c r="F34" s="54">
        <v>0</v>
      </c>
      <c r="G34" s="54">
        <v>192813</v>
      </c>
      <c r="H34" s="54">
        <v>22739.585282</v>
      </c>
      <c r="I34" s="54">
        <f t="shared" si="1"/>
        <v>21651.904444</v>
      </c>
      <c r="J34" s="54"/>
      <c r="K34" s="54">
        <v>0</v>
      </c>
      <c r="L34" s="54">
        <v>180672</v>
      </c>
      <c r="M34" s="54">
        <v>21651.904444</v>
      </c>
      <c r="N34" s="54">
        <f t="shared" si="2"/>
        <v>18652.285420391916</v>
      </c>
      <c r="O34" s="54">
        <f>ChiKCB_2021!P33</f>
        <v>0</v>
      </c>
      <c r="P34" s="54"/>
      <c r="Q34" s="96"/>
      <c r="R34" s="54">
        <f>ChiKCB_2021!R33</f>
        <v>155642</v>
      </c>
      <c r="S34" s="54">
        <f>(M34/L34*R34)+Giatang2021!L34</f>
        <v>18652.285420391916</v>
      </c>
      <c r="T34" s="96">
        <f t="shared" si="4"/>
        <v>119840.95180216082</v>
      </c>
      <c r="U34" s="155"/>
    </row>
    <row r="35" spans="1:21" ht="14" customHeight="1">
      <c r="A35" s="52">
        <v>26</v>
      </c>
      <c r="B35" s="53" t="s">
        <v>38</v>
      </c>
      <c r="C35" s="52" t="s">
        <v>101</v>
      </c>
      <c r="D35" s="54">
        <f t="shared" si="0"/>
        <v>3034.0348869999998</v>
      </c>
      <c r="E35" s="54"/>
      <c r="F35" s="54">
        <v>0</v>
      </c>
      <c r="G35" s="54">
        <v>24534</v>
      </c>
      <c r="H35" s="54">
        <v>3034.0348869999998</v>
      </c>
      <c r="I35" s="54">
        <f t="shared" si="1"/>
        <v>2756.3991380000002</v>
      </c>
      <c r="J35" s="54"/>
      <c r="K35" s="54">
        <v>0</v>
      </c>
      <c r="L35" s="54">
        <v>22725</v>
      </c>
      <c r="M35" s="54">
        <v>2756.3991380000002</v>
      </c>
      <c r="N35" s="54">
        <f t="shared" si="2"/>
        <v>2740.0851365011667</v>
      </c>
      <c r="O35" s="54">
        <f>ChiKCB_2021!P34</f>
        <v>0</v>
      </c>
      <c r="P35" s="54"/>
      <c r="Q35" s="96"/>
      <c r="R35" s="54">
        <f>ChiKCB_2021!R34</f>
        <v>22136</v>
      </c>
      <c r="S35" s="54">
        <f>(M35/L35*R35)+Giatang2021!L35</f>
        <v>2740.0851365011667</v>
      </c>
      <c r="T35" s="96">
        <f t="shared" si="4"/>
        <v>123784.11350294392</v>
      </c>
      <c r="U35" s="155"/>
    </row>
    <row r="36" spans="1:21" ht="14" customHeight="1">
      <c r="A36" s="52">
        <v>27</v>
      </c>
      <c r="B36" s="53" t="s">
        <v>39</v>
      </c>
      <c r="C36" s="52" t="s">
        <v>102</v>
      </c>
      <c r="D36" s="54">
        <f t="shared" si="0"/>
        <v>875.70181400000001</v>
      </c>
      <c r="E36" s="54"/>
      <c r="F36" s="54">
        <v>0</v>
      </c>
      <c r="G36" s="54">
        <v>6415</v>
      </c>
      <c r="H36" s="54">
        <v>875.70181400000001</v>
      </c>
      <c r="I36" s="54">
        <f t="shared" si="1"/>
        <v>1868.653327</v>
      </c>
      <c r="J36" s="54"/>
      <c r="K36" s="54">
        <v>0</v>
      </c>
      <c r="L36" s="54">
        <v>13944</v>
      </c>
      <c r="M36" s="54">
        <v>1868.653327</v>
      </c>
      <c r="N36" s="54">
        <f t="shared" si="2"/>
        <v>1988.1753098804334</v>
      </c>
      <c r="O36" s="54">
        <f>ChiKCB_2021!P35</f>
        <v>0</v>
      </c>
      <c r="P36" s="54"/>
      <c r="Q36" s="96"/>
      <c r="R36" s="54">
        <f>ChiKCB_2021!R35</f>
        <v>14557</v>
      </c>
      <c r="S36" s="54">
        <f>(M36/L36*R36)+Giatang2021!L36</f>
        <v>1988.1753098804334</v>
      </c>
      <c r="T36" s="96">
        <f t="shared" si="4"/>
        <v>136578.64325619518</v>
      </c>
      <c r="U36" s="155"/>
    </row>
    <row r="37" spans="1:21" ht="14" customHeight="1">
      <c r="A37" s="52">
        <v>28</v>
      </c>
      <c r="B37" s="53" t="s">
        <v>103</v>
      </c>
      <c r="C37" s="52" t="s">
        <v>104</v>
      </c>
      <c r="D37" s="54">
        <f t="shared" si="0"/>
        <v>1457.033666</v>
      </c>
      <c r="E37" s="54"/>
      <c r="F37" s="54">
        <v>0</v>
      </c>
      <c r="G37" s="54">
        <v>11501</v>
      </c>
      <c r="H37" s="54">
        <v>1457.033666</v>
      </c>
      <c r="I37" s="54">
        <f t="shared" si="1"/>
        <v>1435.135655</v>
      </c>
      <c r="J37" s="54"/>
      <c r="K37" s="54">
        <v>0</v>
      </c>
      <c r="L37" s="54">
        <v>11791</v>
      </c>
      <c r="M37" s="54">
        <v>1435.135655</v>
      </c>
      <c r="N37" s="54">
        <f t="shared" si="2"/>
        <v>1085.4279914232975</v>
      </c>
      <c r="O37" s="54">
        <f>ChiKCB_2021!P36</f>
        <v>0</v>
      </c>
      <c r="P37" s="54"/>
      <c r="Q37" s="96"/>
      <c r="R37" s="54">
        <f>ChiKCB_2021!R36</f>
        <v>8682</v>
      </c>
      <c r="S37" s="54">
        <f>(M37/L37*R37)+Giatang2021!L37</f>
        <v>1085.4279914232975</v>
      </c>
      <c r="T37" s="96">
        <f t="shared" si="4"/>
        <v>125020.5012005641</v>
      </c>
      <c r="U37" s="155"/>
    </row>
    <row r="38" spans="1:21" ht="14" customHeight="1">
      <c r="A38" s="52">
        <v>29</v>
      </c>
      <c r="B38" s="53" t="s">
        <v>41</v>
      </c>
      <c r="C38" s="52" t="s">
        <v>105</v>
      </c>
      <c r="D38" s="54">
        <f t="shared" si="0"/>
        <v>7934.6134819999997</v>
      </c>
      <c r="E38" s="54"/>
      <c r="F38" s="54">
        <v>0</v>
      </c>
      <c r="G38" s="54">
        <v>69139</v>
      </c>
      <c r="H38" s="54">
        <v>7934.6134819999997</v>
      </c>
      <c r="I38" s="54">
        <f t="shared" si="1"/>
        <v>7304.1520650000002</v>
      </c>
      <c r="J38" s="54"/>
      <c r="K38" s="54">
        <v>0</v>
      </c>
      <c r="L38" s="54">
        <v>67026</v>
      </c>
      <c r="M38" s="54">
        <v>7304.1520650000002</v>
      </c>
      <c r="N38" s="54">
        <f t="shared" si="2"/>
        <v>7146.0294760596644</v>
      </c>
      <c r="O38" s="54">
        <f>ChiKCB_2021!P37</f>
        <v>0</v>
      </c>
      <c r="P38" s="54"/>
      <c r="Q38" s="96"/>
      <c r="R38" s="54">
        <f>ChiKCB_2021!R37</f>
        <v>65575</v>
      </c>
      <c r="S38" s="54">
        <f>(M38/L38*R38)+Giatang2021!L38</f>
        <v>7146.0294760596644</v>
      </c>
      <c r="T38" s="96">
        <f t="shared" si="4"/>
        <v>108974.90623041806</v>
      </c>
      <c r="U38" s="155"/>
    </row>
    <row r="39" spans="1:21" ht="14" customHeight="1">
      <c r="A39" s="52">
        <v>30</v>
      </c>
      <c r="B39" s="7" t="s">
        <v>68</v>
      </c>
      <c r="C39" s="52">
        <v>52208</v>
      </c>
      <c r="D39" s="54">
        <f t="shared" si="0"/>
        <v>64353.93002</v>
      </c>
      <c r="E39" s="54">
        <v>14804</v>
      </c>
      <c r="F39" s="54">
        <v>41570.563617308675</v>
      </c>
      <c r="G39" s="54">
        <v>122890</v>
      </c>
      <c r="H39" s="54">
        <v>22783.366402691321</v>
      </c>
      <c r="I39" s="54">
        <f t="shared" si="1"/>
        <v>64144.481599999999</v>
      </c>
      <c r="J39" s="54">
        <v>14689</v>
      </c>
      <c r="K39" s="54">
        <v>47426.060430969235</v>
      </c>
      <c r="L39" s="54">
        <v>83833</v>
      </c>
      <c r="M39" s="54">
        <v>16718.421169030764</v>
      </c>
      <c r="N39" s="54">
        <f t="shared" si="2"/>
        <v>55032.7058136419</v>
      </c>
      <c r="O39" s="54">
        <f>ChiKCB_2021!P38</f>
        <v>13040</v>
      </c>
      <c r="P39" s="54">
        <f>(K39/J39*O39)+Giatang2021!N39</f>
        <v>42101.969366181416</v>
      </c>
      <c r="Q39" s="96">
        <f t="shared" si="3"/>
        <v>3228678.6323758755</v>
      </c>
      <c r="R39" s="54">
        <f>ChiKCB_2021!R38</f>
        <v>64840</v>
      </c>
      <c r="S39" s="54">
        <f>(M39/L39*R39)+Giatang2021!L39</f>
        <v>12930.736447460484</v>
      </c>
      <c r="T39" s="96">
        <f t="shared" si="4"/>
        <v>199425.29992998895</v>
      </c>
      <c r="U39" s="155"/>
    </row>
    <row r="40" spans="1:21" ht="14" customHeight="1">
      <c r="A40" s="52">
        <v>31</v>
      </c>
      <c r="B40" s="53" t="s">
        <v>42</v>
      </c>
      <c r="C40" s="52" t="s">
        <v>106</v>
      </c>
      <c r="D40" s="54">
        <f t="shared" si="0"/>
        <v>1193.8337690000001</v>
      </c>
      <c r="E40" s="54"/>
      <c r="F40" s="54">
        <v>0</v>
      </c>
      <c r="G40" s="54">
        <v>6920</v>
      </c>
      <c r="H40" s="54">
        <v>1193.8337690000001</v>
      </c>
      <c r="I40" s="54">
        <f t="shared" si="1"/>
        <v>1431.829221</v>
      </c>
      <c r="J40" s="54"/>
      <c r="K40" s="54">
        <v>0</v>
      </c>
      <c r="L40" s="54">
        <v>10407</v>
      </c>
      <c r="M40" s="54">
        <v>1431.829221</v>
      </c>
      <c r="N40" s="54">
        <f t="shared" si="2"/>
        <v>1387.664987316806</v>
      </c>
      <c r="O40" s="54">
        <f>ChiKCB_2021!P39</f>
        <v>0</v>
      </c>
      <c r="P40" s="54"/>
      <c r="Q40" s="96"/>
      <c r="R40" s="54">
        <f>ChiKCB_2021!R39</f>
        <v>10086</v>
      </c>
      <c r="S40" s="54">
        <f>(M40/L40*R40)+Giatang2021!L40</f>
        <v>1387.664987316806</v>
      </c>
      <c r="T40" s="96">
        <f t="shared" si="4"/>
        <v>137583.28250216201</v>
      </c>
      <c r="U40" s="155"/>
    </row>
    <row r="41" spans="1:21" ht="14" customHeight="1">
      <c r="A41" s="52">
        <v>32</v>
      </c>
      <c r="B41" s="53" t="s">
        <v>43</v>
      </c>
      <c r="C41" s="52" t="s">
        <v>107</v>
      </c>
      <c r="D41" s="54">
        <f t="shared" si="0"/>
        <v>50.590837000000001</v>
      </c>
      <c r="E41" s="54"/>
      <c r="F41" s="54">
        <v>0</v>
      </c>
      <c r="G41" s="54">
        <v>357</v>
      </c>
      <c r="H41" s="54">
        <v>50.590837000000001</v>
      </c>
      <c r="I41" s="54">
        <f t="shared" si="1"/>
        <v>239.30260999999999</v>
      </c>
      <c r="J41" s="54"/>
      <c r="K41" s="54">
        <v>0</v>
      </c>
      <c r="L41" s="54">
        <v>1843</v>
      </c>
      <c r="M41" s="54">
        <v>239.30260999999999</v>
      </c>
      <c r="N41" s="54">
        <f t="shared" si="2"/>
        <v>210.86675997829624</v>
      </c>
      <c r="O41" s="54">
        <f>ChiKCB_2021!P40</f>
        <v>0</v>
      </c>
      <c r="P41" s="54"/>
      <c r="Q41" s="96"/>
      <c r="R41" s="54">
        <f>ChiKCB_2021!R40</f>
        <v>1624</v>
      </c>
      <c r="S41" s="54">
        <f>(M41/L41*R41)+Giatang2021!L41</f>
        <v>210.86675997829624</v>
      </c>
      <c r="T41" s="96">
        <f>(S41/R41)*1000000</f>
        <v>129844.06402604448</v>
      </c>
      <c r="U41" s="155"/>
    </row>
    <row r="42" spans="1:21" ht="14" customHeight="1">
      <c r="A42" s="52">
        <v>33</v>
      </c>
      <c r="B42" s="53" t="s">
        <v>44</v>
      </c>
      <c r="C42" s="52">
        <v>52205</v>
      </c>
      <c r="D42" s="54">
        <f t="shared" si="0"/>
        <v>0</v>
      </c>
      <c r="E42" s="54">
        <v>0</v>
      </c>
      <c r="F42" s="54">
        <v>0</v>
      </c>
      <c r="G42" s="54">
        <v>0</v>
      </c>
      <c r="H42" s="54">
        <v>0</v>
      </c>
      <c r="I42" s="54">
        <f t="shared" si="1"/>
        <v>1155.3196869999999</v>
      </c>
      <c r="J42" s="54"/>
      <c r="K42" s="54">
        <v>0</v>
      </c>
      <c r="L42" s="54">
        <v>9463</v>
      </c>
      <c r="M42" s="54">
        <v>1155.3196869999999</v>
      </c>
      <c r="N42" s="54">
        <f t="shared" si="2"/>
        <v>1774.0621760326535</v>
      </c>
      <c r="O42" s="54">
        <f>ChiKCB_2021!P41</f>
        <v>0</v>
      </c>
      <c r="P42" s="54"/>
      <c r="Q42" s="96"/>
      <c r="R42" s="54">
        <f>ChiKCB_2021!R41</f>
        <v>14531</v>
      </c>
      <c r="S42" s="54">
        <f>(M42/L42*R42)+Giatang2021!L42</f>
        <v>1774.0621760326535</v>
      </c>
      <c r="T42" s="96">
        <f t="shared" si="4"/>
        <v>122088.09965127337</v>
      </c>
      <c r="U42" s="155"/>
    </row>
    <row r="43" spans="1:21" ht="14" customHeight="1">
      <c r="A43" s="52">
        <v>34</v>
      </c>
      <c r="B43" s="53" t="s">
        <v>45</v>
      </c>
      <c r="C43" s="52">
        <v>52207</v>
      </c>
      <c r="D43" s="54">
        <f t="shared" si="0"/>
        <v>0</v>
      </c>
      <c r="E43" s="54">
        <v>0</v>
      </c>
      <c r="F43" s="54">
        <v>0</v>
      </c>
      <c r="G43" s="54">
        <v>0</v>
      </c>
      <c r="H43" s="54">
        <v>0</v>
      </c>
      <c r="I43" s="54">
        <f t="shared" si="1"/>
        <v>1562.555513</v>
      </c>
      <c r="J43" s="54"/>
      <c r="K43" s="54">
        <v>0</v>
      </c>
      <c r="L43" s="54">
        <v>12670</v>
      </c>
      <c r="M43" s="54">
        <v>1562.555513</v>
      </c>
      <c r="N43" s="54">
        <f t="shared" si="2"/>
        <v>2515.7513740873719</v>
      </c>
      <c r="O43" s="54">
        <f>ChiKCB_2021!P42</f>
        <v>0</v>
      </c>
      <c r="P43" s="54"/>
      <c r="Q43" s="96"/>
      <c r="R43" s="54">
        <f>ChiKCB_2021!R42</f>
        <v>20399</v>
      </c>
      <c r="S43" s="54">
        <f>(M43/L43*R43)+Giatang2021!L43</f>
        <v>2515.7513740873719</v>
      </c>
      <c r="T43" s="96">
        <f t="shared" si="4"/>
        <v>123327.19123914761</v>
      </c>
      <c r="U43" s="155"/>
    </row>
    <row r="44" spans="1:21" ht="14" customHeight="1">
      <c r="A44" s="55"/>
      <c r="B44" s="92" t="s">
        <v>108</v>
      </c>
      <c r="C44" s="56"/>
      <c r="D44" s="57">
        <f>SUM(D10:D43)</f>
        <v>1332477.0352660001</v>
      </c>
      <c r="E44" s="57">
        <f t="shared" ref="E44:P44" si="5">SUM(E10:E43)</f>
        <v>302561</v>
      </c>
      <c r="F44" s="57">
        <f t="shared" si="5"/>
        <v>910127.0737933059</v>
      </c>
      <c r="G44" s="57">
        <f t="shared" si="5"/>
        <v>2560536</v>
      </c>
      <c r="H44" s="57">
        <f t="shared" si="5"/>
        <v>422349.96147269418</v>
      </c>
      <c r="I44" s="57">
        <f t="shared" si="5"/>
        <v>1209356.9469410004</v>
      </c>
      <c r="J44" s="57">
        <f t="shared" si="5"/>
        <v>261320</v>
      </c>
      <c r="K44" s="57">
        <f t="shared" si="5"/>
        <v>804728.17791929422</v>
      </c>
      <c r="L44" s="57">
        <f t="shared" si="5"/>
        <v>2364824</v>
      </c>
      <c r="M44" s="57">
        <f t="shared" si="5"/>
        <v>404628.76902170572</v>
      </c>
      <c r="N44" s="57">
        <f t="shared" si="5"/>
        <v>1188946.5373946978</v>
      </c>
      <c r="O44" s="57">
        <f t="shared" si="5"/>
        <v>228485</v>
      </c>
      <c r="P44" s="57">
        <f t="shared" si="5"/>
        <v>819699.36422588606</v>
      </c>
      <c r="Q44" s="57"/>
      <c r="R44" s="57">
        <f t="shared" ref="E44:S44" si="6">SUM(R10:R43)</f>
        <v>2070731</v>
      </c>
      <c r="S44" s="57">
        <f t="shared" si="6"/>
        <v>369247.17316881183</v>
      </c>
      <c r="T44" s="57"/>
      <c r="U44" s="67"/>
    </row>
    <row r="45" spans="1:21" s="65" customFormat="1" ht="18" customHeight="1">
      <c r="A45" s="63"/>
      <c r="B45" s="6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</row>
    <row r="46" spans="1:21" s="65" customFormat="1" ht="15" customHeight="1">
      <c r="A46" s="248" t="s">
        <v>113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68"/>
    </row>
    <row r="47" spans="1:21" s="65" customFormat="1" ht="14" customHeight="1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50" spans="8:8">
      <c r="H50" s="67"/>
    </row>
  </sheetData>
  <mergeCells count="20">
    <mergeCell ref="A46:M46"/>
    <mergeCell ref="D7:D8"/>
    <mergeCell ref="E7:F7"/>
    <mergeCell ref="G7:H7"/>
    <mergeCell ref="I7:I8"/>
    <mergeCell ref="J7:K7"/>
    <mergeCell ref="L7:M7"/>
    <mergeCell ref="A1:D1"/>
    <mergeCell ref="A2:D2"/>
    <mergeCell ref="A5:A8"/>
    <mergeCell ref="B5:B8"/>
    <mergeCell ref="C5:C8"/>
    <mergeCell ref="D5:H6"/>
    <mergeCell ref="A3:T3"/>
    <mergeCell ref="N5:T6"/>
    <mergeCell ref="N7:N8"/>
    <mergeCell ref="I5:M6"/>
    <mergeCell ref="O7:Q7"/>
    <mergeCell ref="R7:T7"/>
    <mergeCell ref="R1:T1"/>
  </mergeCells>
  <pageMargins left="0.47" right="0.2" top="0.25" bottom="0.28000000000000003" header="0.2" footer="0.2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F58E-8B18-4155-8F00-C3D10444FC6F}">
  <dimension ref="A1:Q50"/>
  <sheetViews>
    <sheetView workbookViewId="0">
      <selection activeCell="D6" sqref="D6:E7"/>
    </sheetView>
  </sheetViews>
  <sheetFormatPr defaultRowHeight="14.5"/>
  <cols>
    <col min="1" max="1" width="5.7265625" style="60" customWidth="1"/>
    <col min="2" max="2" width="23.54296875" style="60" customWidth="1"/>
    <col min="3" max="3" width="5.1796875" style="60" customWidth="1"/>
    <col min="4" max="4" width="8.26953125" style="60" customWidth="1"/>
    <col min="5" max="5" width="10.453125" style="60" bestFit="1" customWidth="1"/>
    <col min="6" max="6" width="8.81640625" style="60" customWidth="1"/>
    <col min="7" max="7" width="11.453125" style="60" customWidth="1"/>
    <col min="8" max="8" width="8.81640625" style="60" customWidth="1"/>
    <col min="9" max="10" width="11.453125" style="60" customWidth="1"/>
  </cols>
  <sheetData>
    <row r="1" spans="1:17">
      <c r="A1" s="222" t="s">
        <v>3</v>
      </c>
      <c r="B1" s="222"/>
      <c r="C1" s="222"/>
      <c r="D1" s="73"/>
      <c r="E1" s="73"/>
      <c r="F1" s="59"/>
      <c r="G1" s="59"/>
      <c r="H1" s="59"/>
      <c r="I1" s="59"/>
      <c r="J1" s="59"/>
      <c r="N1" s="225" t="s">
        <v>253</v>
      </c>
      <c r="O1" s="225"/>
      <c r="P1" s="225"/>
    </row>
    <row r="2" spans="1:17">
      <c r="A2" s="223" t="s">
        <v>109</v>
      </c>
      <c r="B2" s="223"/>
      <c r="C2" s="223"/>
      <c r="D2" s="74"/>
      <c r="E2" s="74"/>
      <c r="F2" s="59"/>
      <c r="G2" s="59"/>
      <c r="H2" s="59"/>
      <c r="I2" s="59"/>
      <c r="J2" s="59"/>
    </row>
    <row r="3" spans="1:17" ht="15.5" customHeight="1">
      <c r="A3" s="253" t="s">
        <v>197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</row>
    <row r="4" spans="1:17" ht="18" customHeight="1">
      <c r="A4" s="93"/>
      <c r="B4" s="93"/>
      <c r="C4" s="93"/>
      <c r="D4" s="93"/>
      <c r="E4" s="93"/>
      <c r="F4" s="93"/>
      <c r="G4" s="93"/>
      <c r="N4" s="250" t="s">
        <v>4</v>
      </c>
      <c r="O4" s="250"/>
      <c r="P4" s="251"/>
    </row>
    <row r="5" spans="1:17" ht="14.5" customHeight="1">
      <c r="A5" s="231" t="s">
        <v>5</v>
      </c>
      <c r="B5" s="231" t="s">
        <v>110</v>
      </c>
      <c r="C5" s="231" t="s">
        <v>111</v>
      </c>
      <c r="D5" s="252" t="s">
        <v>150</v>
      </c>
      <c r="E5" s="252"/>
      <c r="F5" s="252"/>
      <c r="G5" s="252"/>
      <c r="H5" s="252"/>
      <c r="I5" s="252"/>
      <c r="J5" s="252"/>
      <c r="K5" s="252" t="s">
        <v>149</v>
      </c>
      <c r="L5" s="252"/>
      <c r="M5" s="252"/>
      <c r="N5" s="252" t="s">
        <v>10</v>
      </c>
      <c r="O5" s="252"/>
      <c r="P5" s="252"/>
    </row>
    <row r="6" spans="1:17" ht="37.5" customHeight="1">
      <c r="A6" s="231"/>
      <c r="B6" s="231"/>
      <c r="C6" s="231"/>
      <c r="D6" s="252" t="s">
        <v>121</v>
      </c>
      <c r="E6" s="252"/>
      <c r="F6" s="252" t="s">
        <v>122</v>
      </c>
      <c r="G6" s="252"/>
      <c r="H6" s="252" t="s">
        <v>119</v>
      </c>
      <c r="I6" s="252"/>
      <c r="J6" s="252"/>
      <c r="K6" s="242" t="s">
        <v>8</v>
      </c>
      <c r="L6" s="242" t="s">
        <v>9</v>
      </c>
      <c r="M6" s="242" t="s">
        <v>246</v>
      </c>
      <c r="N6" s="252" t="s">
        <v>8</v>
      </c>
      <c r="O6" s="252" t="s">
        <v>9</v>
      </c>
      <c r="P6" s="242" t="s">
        <v>246</v>
      </c>
    </row>
    <row r="7" spans="1:17" ht="14.5" hidden="1" customHeight="1">
      <c r="A7" s="231"/>
      <c r="B7" s="231"/>
      <c r="C7" s="231"/>
      <c r="D7" s="252"/>
      <c r="E7" s="252"/>
      <c r="F7" s="252"/>
      <c r="G7" s="252"/>
      <c r="H7" s="103"/>
      <c r="I7" s="103"/>
      <c r="J7" s="103"/>
      <c r="K7" s="254"/>
      <c r="L7" s="254"/>
      <c r="M7" s="254"/>
      <c r="N7" s="252"/>
      <c r="O7" s="252"/>
      <c r="P7" s="254"/>
    </row>
    <row r="8" spans="1:17" ht="14.5" hidden="1" customHeight="1">
      <c r="A8" s="231"/>
      <c r="B8" s="231"/>
      <c r="C8" s="231"/>
      <c r="D8" s="72" t="s">
        <v>11</v>
      </c>
      <c r="E8" s="72" t="s">
        <v>114</v>
      </c>
      <c r="F8" s="72" t="s">
        <v>11</v>
      </c>
      <c r="G8" s="72" t="s">
        <v>114</v>
      </c>
      <c r="H8" s="72" t="s">
        <v>11</v>
      </c>
      <c r="I8" s="72" t="s">
        <v>114</v>
      </c>
      <c r="J8" s="72" t="s">
        <v>120</v>
      </c>
      <c r="K8" s="243"/>
      <c r="L8" s="243"/>
      <c r="M8" s="243"/>
      <c r="N8" s="252"/>
      <c r="O8" s="252"/>
      <c r="P8" s="243"/>
    </row>
    <row r="9" spans="1:17">
      <c r="A9" s="62" t="s">
        <v>2</v>
      </c>
      <c r="B9" s="62" t="s">
        <v>1</v>
      </c>
      <c r="C9" s="62" t="s">
        <v>112</v>
      </c>
      <c r="D9" s="62">
        <v>2</v>
      </c>
      <c r="E9" s="62">
        <v>3</v>
      </c>
      <c r="F9" s="62">
        <v>4</v>
      </c>
      <c r="G9" s="62">
        <v>5</v>
      </c>
      <c r="H9" s="62">
        <v>6</v>
      </c>
      <c r="I9" s="62">
        <v>7</v>
      </c>
      <c r="J9" s="62" t="s">
        <v>123</v>
      </c>
      <c r="K9" s="62">
        <v>9</v>
      </c>
      <c r="L9" s="62">
        <v>10</v>
      </c>
      <c r="M9" s="62" t="s">
        <v>151</v>
      </c>
      <c r="N9" s="62" t="s">
        <v>152</v>
      </c>
      <c r="O9" s="62" t="s">
        <v>153</v>
      </c>
      <c r="P9" s="62" t="s">
        <v>154</v>
      </c>
    </row>
    <row r="10" spans="1:17" ht="14" customHeight="1">
      <c r="A10" s="52">
        <v>1</v>
      </c>
      <c r="B10" s="53" t="s">
        <v>13</v>
      </c>
      <c r="C10" s="52" t="s">
        <v>70</v>
      </c>
      <c r="D10" s="54">
        <v>4697</v>
      </c>
      <c r="E10" s="54">
        <v>26266.372913869898</v>
      </c>
      <c r="F10" s="54">
        <f>(D10/8)*4.7</f>
        <v>2759.4875000000002</v>
      </c>
      <c r="G10" s="54">
        <f>(E10/8)*4.7</f>
        <v>15431.494086898565</v>
      </c>
      <c r="H10" s="54">
        <f>D10+F10</f>
        <v>7456.4875000000002</v>
      </c>
      <c r="I10" s="54">
        <f>E10+G10</f>
        <v>41697.867000768463</v>
      </c>
      <c r="J10" s="54">
        <f>(I10/60)*40</f>
        <v>27798.578000512309</v>
      </c>
      <c r="K10" s="54">
        <f>Tongmucthanhtoan2019_2021!K10*8%</f>
        <v>30496.771404924002</v>
      </c>
      <c r="L10" s="54">
        <f>Tongmucthanhtoan2019_2021!M10*6%</f>
        <v>6204.0741550470002</v>
      </c>
      <c r="M10" s="54">
        <f>K10+L10</f>
        <v>36700.845559971</v>
      </c>
      <c r="N10" s="54">
        <f>J10+K10</f>
        <v>58295.349405436311</v>
      </c>
      <c r="O10" s="54">
        <f>L10</f>
        <v>6204.0741550470002</v>
      </c>
      <c r="P10" s="54">
        <f>N10+O10</f>
        <v>64499.423560483308</v>
      </c>
      <c r="Q10" s="101"/>
    </row>
    <row r="11" spans="1:17" ht="14" customHeight="1">
      <c r="A11" s="52">
        <v>2</v>
      </c>
      <c r="B11" s="53" t="s">
        <v>14</v>
      </c>
      <c r="C11" s="52" t="s">
        <v>71</v>
      </c>
      <c r="D11" s="54"/>
      <c r="E11" s="54">
        <v>0</v>
      </c>
      <c r="F11" s="54">
        <f t="shared" ref="F11:F43" si="0">(D11/8)*4.7</f>
        <v>0</v>
      </c>
      <c r="G11" s="54">
        <f t="shared" ref="G11:G43" si="1">(E11/8)*4.7</f>
        <v>0</v>
      </c>
      <c r="H11" s="54">
        <f t="shared" ref="H11:H43" si="2">D11+F11</f>
        <v>0</v>
      </c>
      <c r="I11" s="54">
        <f t="shared" ref="I11:I43" si="3">E11+G11</f>
        <v>0</v>
      </c>
      <c r="J11" s="54">
        <f t="shared" ref="J11:J43" si="4">(I11/60)*40</f>
        <v>0</v>
      </c>
      <c r="K11" s="54">
        <f>Tongmucthanhtoan2019_2021!K11*3%</f>
        <v>1366.7109190802385</v>
      </c>
      <c r="L11" s="54">
        <f>Tongmucthanhtoan2019_2021!M11*3%</f>
        <v>894.98368463976158</v>
      </c>
      <c r="M11" s="54">
        <f t="shared" ref="M11:M37" si="5">K11+L11</f>
        <v>2261.69460372</v>
      </c>
      <c r="N11" s="54">
        <f t="shared" ref="N11:N43" si="6">J11+K11</f>
        <v>1366.7109190802385</v>
      </c>
      <c r="O11" s="54">
        <f t="shared" ref="O11:O43" si="7">L11</f>
        <v>894.98368463976158</v>
      </c>
      <c r="P11" s="54">
        <f t="shared" ref="P11:P43" si="8">N11+O11</f>
        <v>2261.69460372</v>
      </c>
      <c r="Q11" s="101"/>
    </row>
    <row r="12" spans="1:17" ht="14" customHeight="1">
      <c r="A12" s="52">
        <v>3</v>
      </c>
      <c r="B12" s="53" t="s">
        <v>15</v>
      </c>
      <c r="C12" s="52" t="s">
        <v>72</v>
      </c>
      <c r="D12" s="54"/>
      <c r="E12" s="54">
        <v>0</v>
      </c>
      <c r="F12" s="54">
        <f t="shared" si="0"/>
        <v>0</v>
      </c>
      <c r="G12" s="54">
        <f t="shared" si="1"/>
        <v>0</v>
      </c>
      <c r="H12" s="54">
        <f t="shared" si="2"/>
        <v>0</v>
      </c>
      <c r="I12" s="54">
        <f t="shared" si="3"/>
        <v>0</v>
      </c>
      <c r="J12" s="54">
        <f t="shared" si="4"/>
        <v>0</v>
      </c>
      <c r="K12" s="54">
        <f>Tongmucthanhtoan2019_2021!K12*5%</f>
        <v>750.50305089155358</v>
      </c>
      <c r="L12" s="54">
        <f>Tongmucthanhtoan2019_2021!M12*5%</f>
        <v>883.04543840844656</v>
      </c>
      <c r="M12" s="54">
        <f t="shared" si="5"/>
        <v>1633.5484893000003</v>
      </c>
      <c r="N12" s="54">
        <f t="shared" si="6"/>
        <v>750.50305089155358</v>
      </c>
      <c r="O12" s="54">
        <f t="shared" si="7"/>
        <v>883.04543840844656</v>
      </c>
      <c r="P12" s="54">
        <f t="shared" si="8"/>
        <v>1633.5484893000003</v>
      </c>
      <c r="Q12" s="101"/>
    </row>
    <row r="13" spans="1:17" ht="14" customHeight="1">
      <c r="A13" s="52">
        <v>4</v>
      </c>
      <c r="B13" s="53" t="s">
        <v>16</v>
      </c>
      <c r="C13" s="52" t="s">
        <v>73</v>
      </c>
      <c r="D13" s="54"/>
      <c r="E13" s="54">
        <v>0</v>
      </c>
      <c r="F13" s="54">
        <f t="shared" si="0"/>
        <v>0</v>
      </c>
      <c r="G13" s="54">
        <f t="shared" si="1"/>
        <v>0</v>
      </c>
      <c r="H13" s="54">
        <f t="shared" si="2"/>
        <v>0</v>
      </c>
      <c r="I13" s="54">
        <f t="shared" si="3"/>
        <v>0</v>
      </c>
      <c r="J13" s="54">
        <f t="shared" si="4"/>
        <v>0</v>
      </c>
      <c r="K13" s="54">
        <f>Tongmucthanhtoan2019_2021!K13*5%</f>
        <v>1400.1242219236319</v>
      </c>
      <c r="L13" s="54">
        <f>Tongmucthanhtoan2019_2021!M13*5%</f>
        <v>1019.769905976368</v>
      </c>
      <c r="M13" s="54">
        <f t="shared" si="5"/>
        <v>2419.8941279000001</v>
      </c>
      <c r="N13" s="54">
        <f t="shared" si="6"/>
        <v>1400.1242219236319</v>
      </c>
      <c r="O13" s="54">
        <f t="shared" si="7"/>
        <v>1019.769905976368</v>
      </c>
      <c r="P13" s="54">
        <f t="shared" si="8"/>
        <v>2419.8941279000001</v>
      </c>
      <c r="Q13" s="101"/>
    </row>
    <row r="14" spans="1:17" ht="14" customHeight="1">
      <c r="A14" s="52">
        <v>5</v>
      </c>
      <c r="B14" s="53" t="s">
        <v>17</v>
      </c>
      <c r="C14" s="52" t="s">
        <v>74</v>
      </c>
      <c r="D14" s="54"/>
      <c r="E14" s="54">
        <v>0</v>
      </c>
      <c r="F14" s="54">
        <f t="shared" si="0"/>
        <v>0</v>
      </c>
      <c r="G14" s="54">
        <f t="shared" si="1"/>
        <v>0</v>
      </c>
      <c r="H14" s="54">
        <f t="shared" si="2"/>
        <v>0</v>
      </c>
      <c r="I14" s="54">
        <f t="shared" si="3"/>
        <v>0</v>
      </c>
      <c r="J14" s="54">
        <f t="shared" si="4"/>
        <v>0</v>
      </c>
      <c r="K14" s="54">
        <f>Tongmucthanhtoan2019_2021!K14*5%</f>
        <v>949.22583604781676</v>
      </c>
      <c r="L14" s="54">
        <f>Tongmucthanhtoan2019_2021!M14*5%</f>
        <v>1329.2515193521833</v>
      </c>
      <c r="M14" s="54">
        <f t="shared" si="5"/>
        <v>2278.4773554000003</v>
      </c>
      <c r="N14" s="54">
        <f t="shared" si="6"/>
        <v>949.22583604781676</v>
      </c>
      <c r="O14" s="54">
        <f t="shared" si="7"/>
        <v>1329.2515193521833</v>
      </c>
      <c r="P14" s="54">
        <f t="shared" si="8"/>
        <v>2278.4773554000003</v>
      </c>
      <c r="Q14" s="101"/>
    </row>
    <row r="15" spans="1:17" ht="14" customHeight="1">
      <c r="A15" s="52">
        <v>6</v>
      </c>
      <c r="B15" s="53" t="s">
        <v>18</v>
      </c>
      <c r="C15" s="52" t="s">
        <v>75</v>
      </c>
      <c r="D15" s="54"/>
      <c r="E15" s="54">
        <v>0</v>
      </c>
      <c r="F15" s="54">
        <f t="shared" si="0"/>
        <v>0</v>
      </c>
      <c r="G15" s="54">
        <f t="shared" si="1"/>
        <v>0</v>
      </c>
      <c r="H15" s="54">
        <f t="shared" si="2"/>
        <v>0</v>
      </c>
      <c r="I15" s="54">
        <f t="shared" si="3"/>
        <v>0</v>
      </c>
      <c r="J15" s="54">
        <f t="shared" si="4"/>
        <v>0</v>
      </c>
      <c r="K15" s="54">
        <f>Tongmucthanhtoan2019_2021!K15*5%</f>
        <v>661.5992992471829</v>
      </c>
      <c r="L15" s="54">
        <f>Tongmucthanhtoan2019_2021!M15*5%</f>
        <v>884.33309905281715</v>
      </c>
      <c r="M15" s="54">
        <f t="shared" si="5"/>
        <v>1545.9323982999999</v>
      </c>
      <c r="N15" s="54">
        <f t="shared" si="6"/>
        <v>661.5992992471829</v>
      </c>
      <c r="O15" s="54">
        <f t="shared" si="7"/>
        <v>884.33309905281715</v>
      </c>
      <c r="P15" s="54">
        <f t="shared" si="8"/>
        <v>1545.9323982999999</v>
      </c>
      <c r="Q15" s="101"/>
    </row>
    <row r="16" spans="1:17" ht="14" customHeight="1">
      <c r="A16" s="52">
        <v>7</v>
      </c>
      <c r="B16" s="53" t="s">
        <v>76</v>
      </c>
      <c r="C16" s="52" t="s">
        <v>77</v>
      </c>
      <c r="D16" s="54"/>
      <c r="E16" s="54">
        <v>0</v>
      </c>
      <c r="F16" s="54">
        <f t="shared" si="0"/>
        <v>0</v>
      </c>
      <c r="G16" s="54">
        <f t="shared" si="1"/>
        <v>0</v>
      </c>
      <c r="H16" s="54">
        <f t="shared" si="2"/>
        <v>0</v>
      </c>
      <c r="I16" s="54">
        <f t="shared" si="3"/>
        <v>0</v>
      </c>
      <c r="J16" s="54">
        <f t="shared" si="4"/>
        <v>0</v>
      </c>
      <c r="K16" s="54">
        <f>Tongmucthanhtoan2019_2021!K16*5%</f>
        <v>656.52981950574372</v>
      </c>
      <c r="L16" s="54">
        <f>Tongmucthanhtoan2019_2021!M16*5%</f>
        <v>455.17512924425631</v>
      </c>
      <c r="M16" s="54">
        <f t="shared" si="5"/>
        <v>1111.7049487500001</v>
      </c>
      <c r="N16" s="54">
        <f t="shared" si="6"/>
        <v>656.52981950574372</v>
      </c>
      <c r="O16" s="54">
        <f t="shared" si="7"/>
        <v>455.17512924425631</v>
      </c>
      <c r="P16" s="54">
        <f t="shared" si="8"/>
        <v>1111.7049487500001</v>
      </c>
      <c r="Q16" s="101"/>
    </row>
    <row r="17" spans="1:17" ht="14" customHeight="1">
      <c r="A17" s="52">
        <v>8</v>
      </c>
      <c r="B17" s="53" t="s">
        <v>20</v>
      </c>
      <c r="C17" s="52" t="s">
        <v>78</v>
      </c>
      <c r="D17" s="54"/>
      <c r="E17" s="54">
        <v>0</v>
      </c>
      <c r="F17" s="54">
        <f t="shared" si="0"/>
        <v>0</v>
      </c>
      <c r="G17" s="54">
        <f t="shared" si="1"/>
        <v>0</v>
      </c>
      <c r="H17" s="54">
        <f t="shared" si="2"/>
        <v>0</v>
      </c>
      <c r="I17" s="54">
        <f t="shared" si="3"/>
        <v>0</v>
      </c>
      <c r="J17" s="54">
        <f t="shared" si="4"/>
        <v>0</v>
      </c>
      <c r="K17" s="54">
        <f>Tongmucthanhtoan2019_2021!K17*5%</f>
        <v>484.40705180024707</v>
      </c>
      <c r="L17" s="54">
        <f>Tongmucthanhtoan2019_2021!M17*5%</f>
        <v>410.95685994975292</v>
      </c>
      <c r="M17" s="54">
        <f t="shared" si="5"/>
        <v>895.36391174999994</v>
      </c>
      <c r="N17" s="54">
        <f t="shared" si="6"/>
        <v>484.40705180024707</v>
      </c>
      <c r="O17" s="54">
        <f t="shared" si="7"/>
        <v>410.95685994975292</v>
      </c>
      <c r="P17" s="54">
        <f t="shared" si="8"/>
        <v>895.36391174999994</v>
      </c>
      <c r="Q17" s="101"/>
    </row>
    <row r="18" spans="1:17" ht="14" customHeight="1">
      <c r="A18" s="52">
        <v>9</v>
      </c>
      <c r="B18" s="53" t="s">
        <v>21</v>
      </c>
      <c r="C18" s="52" t="s">
        <v>79</v>
      </c>
      <c r="D18" s="54"/>
      <c r="E18" s="54">
        <v>0</v>
      </c>
      <c r="F18" s="54">
        <f t="shared" si="0"/>
        <v>0</v>
      </c>
      <c r="G18" s="54">
        <f t="shared" si="1"/>
        <v>0</v>
      </c>
      <c r="H18" s="54">
        <f t="shared" si="2"/>
        <v>0</v>
      </c>
      <c r="I18" s="54">
        <f t="shared" si="3"/>
        <v>0</v>
      </c>
      <c r="J18" s="54">
        <f t="shared" si="4"/>
        <v>0</v>
      </c>
      <c r="K18" s="54">
        <f>Tongmucthanhtoan2019_2021!K18*5%</f>
        <v>942.84176314673061</v>
      </c>
      <c r="L18" s="54">
        <f>Tongmucthanhtoan2019_2021!M18*5%</f>
        <v>852.22272345326951</v>
      </c>
      <c r="M18" s="54">
        <f t="shared" si="5"/>
        <v>1795.0644866000002</v>
      </c>
      <c r="N18" s="54">
        <f t="shared" si="6"/>
        <v>942.84176314673061</v>
      </c>
      <c r="O18" s="54">
        <f t="shared" si="7"/>
        <v>852.22272345326951</v>
      </c>
      <c r="P18" s="54">
        <f t="shared" si="8"/>
        <v>1795.0644866000002</v>
      </c>
      <c r="Q18" s="101"/>
    </row>
    <row r="19" spans="1:17" ht="14" customHeight="1">
      <c r="A19" s="52">
        <v>10</v>
      </c>
      <c r="B19" s="53" t="s">
        <v>22</v>
      </c>
      <c r="C19" s="52" t="s">
        <v>80</v>
      </c>
      <c r="D19" s="54"/>
      <c r="E19" s="54">
        <v>0</v>
      </c>
      <c r="F19" s="54">
        <f t="shared" si="0"/>
        <v>0</v>
      </c>
      <c r="G19" s="54">
        <f t="shared" si="1"/>
        <v>0</v>
      </c>
      <c r="H19" s="54">
        <f t="shared" si="2"/>
        <v>0</v>
      </c>
      <c r="I19" s="54">
        <f t="shared" si="3"/>
        <v>0</v>
      </c>
      <c r="J19" s="54">
        <f t="shared" si="4"/>
        <v>0</v>
      </c>
      <c r="K19" s="54">
        <f>Tongmucthanhtoan2019_2021!K19*3%</f>
        <v>102.53268212581884</v>
      </c>
      <c r="L19" s="54">
        <f>Tongmucthanhtoan2019_2021!M19*3%</f>
        <v>105.68104977418115</v>
      </c>
      <c r="M19" s="54">
        <f t="shared" si="5"/>
        <v>208.21373189999997</v>
      </c>
      <c r="N19" s="54">
        <f t="shared" si="6"/>
        <v>102.53268212581884</v>
      </c>
      <c r="O19" s="54">
        <f t="shared" si="7"/>
        <v>105.68104977418115</v>
      </c>
      <c r="P19" s="54">
        <f t="shared" si="8"/>
        <v>208.21373189999997</v>
      </c>
      <c r="Q19" s="101"/>
    </row>
    <row r="20" spans="1:17" ht="14" customHeight="1">
      <c r="A20" s="52">
        <v>11</v>
      </c>
      <c r="B20" s="53" t="s">
        <v>23</v>
      </c>
      <c r="C20" s="52" t="s">
        <v>81</v>
      </c>
      <c r="D20" s="54"/>
      <c r="E20" s="54">
        <v>0</v>
      </c>
      <c r="F20" s="54">
        <f t="shared" si="0"/>
        <v>0</v>
      </c>
      <c r="G20" s="54">
        <f t="shared" si="1"/>
        <v>0</v>
      </c>
      <c r="H20" s="54">
        <f t="shared" si="2"/>
        <v>0</v>
      </c>
      <c r="I20" s="54">
        <f t="shared" si="3"/>
        <v>0</v>
      </c>
      <c r="J20" s="54">
        <f t="shared" si="4"/>
        <v>0</v>
      </c>
      <c r="K20" s="54">
        <f>Tongmucthanhtoan2019_2021!K20*2%</f>
        <v>205.77066551664706</v>
      </c>
      <c r="L20" s="54">
        <f>Tongmucthanhtoan2019_2021!M20*2%</f>
        <v>133.50920932335293</v>
      </c>
      <c r="M20" s="54">
        <f t="shared" si="5"/>
        <v>339.27987483999999</v>
      </c>
      <c r="N20" s="54">
        <f t="shared" si="6"/>
        <v>205.77066551664706</v>
      </c>
      <c r="O20" s="54">
        <f t="shared" si="7"/>
        <v>133.50920932335293</v>
      </c>
      <c r="P20" s="54">
        <f t="shared" si="8"/>
        <v>339.27987483999999</v>
      </c>
      <c r="Q20" s="101"/>
    </row>
    <row r="21" spans="1:17" ht="14" customHeight="1">
      <c r="A21" s="52">
        <v>12</v>
      </c>
      <c r="B21" s="53" t="s">
        <v>24</v>
      </c>
      <c r="C21" s="52" t="s">
        <v>82</v>
      </c>
      <c r="D21" s="54"/>
      <c r="E21" s="54">
        <v>0</v>
      </c>
      <c r="F21" s="54">
        <f t="shared" si="0"/>
        <v>0</v>
      </c>
      <c r="G21" s="54">
        <f t="shared" si="1"/>
        <v>0</v>
      </c>
      <c r="H21" s="54">
        <f t="shared" si="2"/>
        <v>0</v>
      </c>
      <c r="I21" s="54">
        <f t="shared" si="3"/>
        <v>0</v>
      </c>
      <c r="J21" s="54">
        <f t="shared" si="4"/>
        <v>0</v>
      </c>
      <c r="K21" s="54">
        <f>Tongmucthanhtoan2019_2021!K21*2%</f>
        <v>85.762940777028277</v>
      </c>
      <c r="L21" s="54">
        <f>Tongmucthanhtoan2019_2021!M21*2%</f>
        <v>74.170806302971741</v>
      </c>
      <c r="M21" s="54">
        <f t="shared" si="5"/>
        <v>159.93374708000002</v>
      </c>
      <c r="N21" s="54">
        <f t="shared" si="6"/>
        <v>85.762940777028277</v>
      </c>
      <c r="O21" s="54">
        <f t="shared" si="7"/>
        <v>74.170806302971741</v>
      </c>
      <c r="P21" s="54">
        <f t="shared" si="8"/>
        <v>159.93374708000002</v>
      </c>
      <c r="Q21" s="101"/>
    </row>
    <row r="22" spans="1:17" ht="14" customHeight="1">
      <c r="A22" s="52">
        <v>13</v>
      </c>
      <c r="B22" s="53" t="s">
        <v>25</v>
      </c>
      <c r="C22" s="52" t="s">
        <v>83</v>
      </c>
      <c r="D22" s="54">
        <v>962</v>
      </c>
      <c r="E22" s="54">
        <v>2451.5728085199999</v>
      </c>
      <c r="F22" s="54">
        <f t="shared" si="0"/>
        <v>565.17500000000007</v>
      </c>
      <c r="G22" s="54">
        <f t="shared" si="1"/>
        <v>1440.2990250055</v>
      </c>
      <c r="H22" s="54">
        <f t="shared" si="2"/>
        <v>1527.1750000000002</v>
      </c>
      <c r="I22" s="54">
        <f t="shared" si="3"/>
        <v>3891.8718335254998</v>
      </c>
      <c r="J22" s="54">
        <f t="shared" si="4"/>
        <v>2594.5812223503335</v>
      </c>
      <c r="K22" s="54">
        <f>Tongmucthanhtoan2019_2021!K22*8%</f>
        <v>5032.3302584236253</v>
      </c>
      <c r="L22" s="54">
        <f>Tongmucthanhtoan2019_2021!M22*6%</f>
        <v>1281.9848866022808</v>
      </c>
      <c r="M22" s="54">
        <f t="shared" si="5"/>
        <v>6314.3151450259065</v>
      </c>
      <c r="N22" s="54">
        <f t="shared" si="6"/>
        <v>7626.9114807739588</v>
      </c>
      <c r="O22" s="54">
        <f t="shared" si="7"/>
        <v>1281.9848866022808</v>
      </c>
      <c r="P22" s="54">
        <f t="shared" si="8"/>
        <v>8908.8963673762391</v>
      </c>
      <c r="Q22" s="101"/>
    </row>
    <row r="23" spans="1:17" ht="14" customHeight="1">
      <c r="A23" s="52">
        <v>14</v>
      </c>
      <c r="B23" s="53" t="s">
        <v>26</v>
      </c>
      <c r="C23" s="52" t="s">
        <v>84</v>
      </c>
      <c r="D23" s="54">
        <v>853</v>
      </c>
      <c r="E23" s="54">
        <v>2735.7669390799997</v>
      </c>
      <c r="F23" s="54">
        <f t="shared" si="0"/>
        <v>501.13750000000005</v>
      </c>
      <c r="G23" s="54">
        <f t="shared" si="1"/>
        <v>1607.2630767095</v>
      </c>
      <c r="H23" s="54">
        <f t="shared" si="2"/>
        <v>1354.1375</v>
      </c>
      <c r="I23" s="54">
        <f t="shared" si="3"/>
        <v>4343.0300157894999</v>
      </c>
      <c r="J23" s="54">
        <f t="shared" si="4"/>
        <v>2895.3533438596669</v>
      </c>
      <c r="K23" s="54"/>
      <c r="L23" s="54"/>
      <c r="M23" s="54">
        <f t="shared" si="5"/>
        <v>0</v>
      </c>
      <c r="N23" s="54">
        <f t="shared" si="6"/>
        <v>2895.3533438596669</v>
      </c>
      <c r="O23" s="54">
        <f t="shared" si="7"/>
        <v>0</v>
      </c>
      <c r="P23" s="54">
        <f t="shared" si="8"/>
        <v>2895.3533438596669</v>
      </c>
      <c r="Q23" s="101"/>
    </row>
    <row r="24" spans="1:17" ht="14" customHeight="1">
      <c r="A24" s="52">
        <v>15</v>
      </c>
      <c r="B24" s="53" t="s">
        <v>27</v>
      </c>
      <c r="C24" s="52" t="s">
        <v>85</v>
      </c>
      <c r="D24" s="54">
        <v>619</v>
      </c>
      <c r="E24" s="54">
        <v>1842.1684750499999</v>
      </c>
      <c r="F24" s="54">
        <f t="shared" si="0"/>
        <v>363.66250000000002</v>
      </c>
      <c r="G24" s="54">
        <f t="shared" si="1"/>
        <v>1082.2739790918749</v>
      </c>
      <c r="H24" s="54">
        <f t="shared" si="2"/>
        <v>982.66250000000002</v>
      </c>
      <c r="I24" s="54">
        <f t="shared" si="3"/>
        <v>2924.4424541418748</v>
      </c>
      <c r="J24" s="54">
        <f t="shared" si="4"/>
        <v>1949.6283027612499</v>
      </c>
      <c r="K24" s="54"/>
      <c r="L24" s="54"/>
      <c r="M24" s="54">
        <f t="shared" si="5"/>
        <v>0</v>
      </c>
      <c r="N24" s="54">
        <f t="shared" si="6"/>
        <v>1949.6283027612499</v>
      </c>
      <c r="O24" s="54">
        <f t="shared" si="7"/>
        <v>0</v>
      </c>
      <c r="P24" s="54">
        <f t="shared" si="8"/>
        <v>1949.6283027612499</v>
      </c>
      <c r="Q24" s="101"/>
    </row>
    <row r="25" spans="1:17" ht="14" customHeight="1">
      <c r="A25" s="52">
        <v>16</v>
      </c>
      <c r="B25" s="53" t="s">
        <v>28</v>
      </c>
      <c r="C25" s="52" t="s">
        <v>86</v>
      </c>
      <c r="D25" s="54">
        <v>1626</v>
      </c>
      <c r="E25" s="54">
        <v>7273.7556111000104</v>
      </c>
      <c r="F25" s="54">
        <f t="shared" si="0"/>
        <v>955.27500000000009</v>
      </c>
      <c r="G25" s="54">
        <f t="shared" si="1"/>
        <v>4273.3314215212558</v>
      </c>
      <c r="H25" s="54">
        <f t="shared" si="2"/>
        <v>2581.2750000000001</v>
      </c>
      <c r="I25" s="54">
        <f t="shared" si="3"/>
        <v>11547.087032621266</v>
      </c>
      <c r="J25" s="54">
        <f t="shared" si="4"/>
        <v>7698.0580217475108</v>
      </c>
      <c r="K25" s="54"/>
      <c r="L25" s="54"/>
      <c r="M25" s="54">
        <f t="shared" si="5"/>
        <v>0</v>
      </c>
      <c r="N25" s="54">
        <f t="shared" si="6"/>
        <v>7698.0580217475108</v>
      </c>
      <c r="O25" s="54">
        <f t="shared" si="7"/>
        <v>0</v>
      </c>
      <c r="P25" s="54">
        <f t="shared" si="8"/>
        <v>7698.0580217475108</v>
      </c>
      <c r="Q25" s="101"/>
    </row>
    <row r="26" spans="1:17" ht="14" customHeight="1">
      <c r="A26" s="52">
        <v>17</v>
      </c>
      <c r="B26" s="53" t="s">
        <v>29</v>
      </c>
      <c r="C26" s="52" t="s">
        <v>87</v>
      </c>
      <c r="D26" s="54">
        <v>951</v>
      </c>
      <c r="E26" s="54">
        <v>3340.9939094599999</v>
      </c>
      <c r="F26" s="54">
        <f t="shared" si="0"/>
        <v>558.71249999999998</v>
      </c>
      <c r="G26" s="54">
        <f t="shared" si="1"/>
        <v>1962.8339218077501</v>
      </c>
      <c r="H26" s="54">
        <f t="shared" si="2"/>
        <v>1509.7125000000001</v>
      </c>
      <c r="I26" s="54">
        <f t="shared" si="3"/>
        <v>5303.8278312677503</v>
      </c>
      <c r="J26" s="54">
        <f t="shared" si="4"/>
        <v>3535.8852208451667</v>
      </c>
      <c r="K26" s="54"/>
      <c r="L26" s="54"/>
      <c r="M26" s="54">
        <f t="shared" si="5"/>
        <v>0</v>
      </c>
      <c r="N26" s="54">
        <f t="shared" si="6"/>
        <v>3535.8852208451667</v>
      </c>
      <c r="O26" s="54">
        <f t="shared" si="7"/>
        <v>0</v>
      </c>
      <c r="P26" s="54">
        <f t="shared" si="8"/>
        <v>3535.8852208451667</v>
      </c>
      <c r="Q26" s="101"/>
    </row>
    <row r="27" spans="1:17" ht="14" customHeight="1">
      <c r="A27" s="52">
        <v>18</v>
      </c>
      <c r="B27" s="53" t="s">
        <v>30</v>
      </c>
      <c r="C27" s="52" t="s">
        <v>88</v>
      </c>
      <c r="D27" s="54">
        <v>988</v>
      </c>
      <c r="E27" s="54">
        <v>4045.35709391</v>
      </c>
      <c r="F27" s="54">
        <f t="shared" si="0"/>
        <v>580.45000000000005</v>
      </c>
      <c r="G27" s="54">
        <f t="shared" si="1"/>
        <v>2376.6472926721249</v>
      </c>
      <c r="H27" s="54">
        <f t="shared" si="2"/>
        <v>1568.45</v>
      </c>
      <c r="I27" s="54">
        <f t="shared" si="3"/>
        <v>6422.0043865821244</v>
      </c>
      <c r="J27" s="54">
        <f t="shared" si="4"/>
        <v>4281.3362577214157</v>
      </c>
      <c r="K27" s="54"/>
      <c r="L27" s="54"/>
      <c r="M27" s="54">
        <f t="shared" si="5"/>
        <v>0</v>
      </c>
      <c r="N27" s="54">
        <f t="shared" si="6"/>
        <v>4281.3362577214157</v>
      </c>
      <c r="O27" s="54">
        <f t="shared" si="7"/>
        <v>0</v>
      </c>
      <c r="P27" s="54">
        <f t="shared" si="8"/>
        <v>4281.3362577214157</v>
      </c>
      <c r="Q27" s="101"/>
    </row>
    <row r="28" spans="1:17" ht="14" customHeight="1">
      <c r="A28" s="52">
        <v>19</v>
      </c>
      <c r="B28" s="53" t="s">
        <v>31</v>
      </c>
      <c r="C28" s="52" t="s">
        <v>89</v>
      </c>
      <c r="D28" s="54">
        <v>2217</v>
      </c>
      <c r="E28" s="54">
        <v>8154.9290865500498</v>
      </c>
      <c r="F28" s="54">
        <f t="shared" si="0"/>
        <v>1302.4875</v>
      </c>
      <c r="G28" s="54">
        <f t="shared" si="1"/>
        <v>4791.020838348154</v>
      </c>
      <c r="H28" s="54">
        <f t="shared" si="2"/>
        <v>3519.4875000000002</v>
      </c>
      <c r="I28" s="54">
        <f t="shared" si="3"/>
        <v>12945.949924898203</v>
      </c>
      <c r="J28" s="54">
        <f t="shared" si="4"/>
        <v>8630.633283265468</v>
      </c>
      <c r="K28" s="54"/>
      <c r="L28" s="54"/>
      <c r="M28" s="54">
        <f t="shared" si="5"/>
        <v>0</v>
      </c>
      <c r="N28" s="54">
        <f t="shared" si="6"/>
        <v>8630.633283265468</v>
      </c>
      <c r="O28" s="54">
        <f t="shared" si="7"/>
        <v>0</v>
      </c>
      <c r="P28" s="54">
        <f t="shared" si="8"/>
        <v>8630.633283265468</v>
      </c>
      <c r="Q28" s="101"/>
    </row>
    <row r="29" spans="1:17" ht="14" customHeight="1">
      <c r="A29" s="52">
        <v>20</v>
      </c>
      <c r="B29" s="53" t="s">
        <v>90</v>
      </c>
      <c r="C29" s="52" t="s">
        <v>91</v>
      </c>
      <c r="D29" s="54"/>
      <c r="E29" s="54">
        <v>0</v>
      </c>
      <c r="F29" s="54">
        <f t="shared" si="0"/>
        <v>0</v>
      </c>
      <c r="G29" s="54">
        <f t="shared" si="1"/>
        <v>0</v>
      </c>
      <c r="H29" s="54">
        <f t="shared" si="2"/>
        <v>0</v>
      </c>
      <c r="I29" s="54">
        <f t="shared" si="3"/>
        <v>0</v>
      </c>
      <c r="J29" s="54">
        <f t="shared" si="4"/>
        <v>0</v>
      </c>
      <c r="K29" s="54">
        <f>Tongmucthanhtoan2019_2021!K29*8%</f>
        <v>2665.9188994693686</v>
      </c>
      <c r="L29" s="54">
        <f>Tongmucthanhtoan2019_2021!M29*6%</f>
        <v>569.65223433797337</v>
      </c>
      <c r="M29" s="54">
        <f t="shared" si="5"/>
        <v>3235.571133807342</v>
      </c>
      <c r="N29" s="54">
        <f t="shared" si="6"/>
        <v>2665.9188994693686</v>
      </c>
      <c r="O29" s="54">
        <f t="shared" si="7"/>
        <v>569.65223433797337</v>
      </c>
      <c r="P29" s="54">
        <f t="shared" si="8"/>
        <v>3235.571133807342</v>
      </c>
      <c r="Q29" s="101"/>
    </row>
    <row r="30" spans="1:17" ht="14" customHeight="1">
      <c r="A30" s="52">
        <v>21</v>
      </c>
      <c r="B30" s="53" t="s">
        <v>92</v>
      </c>
      <c r="C30" s="52" t="s">
        <v>93</v>
      </c>
      <c r="D30" s="54"/>
      <c r="E30" s="54">
        <v>0</v>
      </c>
      <c r="F30" s="54">
        <f t="shared" si="0"/>
        <v>0</v>
      </c>
      <c r="G30" s="54">
        <f t="shared" si="1"/>
        <v>0</v>
      </c>
      <c r="H30" s="54">
        <f t="shared" si="2"/>
        <v>0</v>
      </c>
      <c r="I30" s="54">
        <f t="shared" si="3"/>
        <v>0</v>
      </c>
      <c r="J30" s="54">
        <f t="shared" si="4"/>
        <v>0</v>
      </c>
      <c r="K30" s="54">
        <f>Tongmucthanhtoan2019_2021!K30*2%</f>
        <v>178.50756837181981</v>
      </c>
      <c r="L30" s="54">
        <f>Tongmucthanhtoan2019_2021!M30*2%</f>
        <v>283.93276634818022</v>
      </c>
      <c r="M30" s="54">
        <f t="shared" si="5"/>
        <v>462.44033472000001</v>
      </c>
      <c r="N30" s="54">
        <f t="shared" si="6"/>
        <v>178.50756837181981</v>
      </c>
      <c r="O30" s="54">
        <f t="shared" si="7"/>
        <v>283.93276634818022</v>
      </c>
      <c r="P30" s="54">
        <f t="shared" si="8"/>
        <v>462.44033472000001</v>
      </c>
      <c r="Q30" s="101"/>
    </row>
    <row r="31" spans="1:17" ht="14" customHeight="1">
      <c r="A31" s="52">
        <v>22</v>
      </c>
      <c r="B31" s="53" t="s">
        <v>34</v>
      </c>
      <c r="C31" s="52" t="s">
        <v>94</v>
      </c>
      <c r="D31" s="54"/>
      <c r="E31" s="54">
        <v>0</v>
      </c>
      <c r="F31" s="54">
        <f t="shared" si="0"/>
        <v>0</v>
      </c>
      <c r="G31" s="54">
        <f t="shared" si="1"/>
        <v>0</v>
      </c>
      <c r="H31" s="54">
        <f t="shared" si="2"/>
        <v>0</v>
      </c>
      <c r="I31" s="54">
        <f t="shared" si="3"/>
        <v>0</v>
      </c>
      <c r="J31" s="54">
        <f t="shared" si="4"/>
        <v>0</v>
      </c>
      <c r="K31" s="54">
        <f>Tongmucthanhtoan2019_2021!K31*2%</f>
        <v>0</v>
      </c>
      <c r="L31" s="54">
        <f>Tongmucthanhtoan2019_2021!M31*2%</f>
        <v>29.539328560000001</v>
      </c>
      <c r="M31" s="54">
        <f t="shared" si="5"/>
        <v>29.539328560000001</v>
      </c>
      <c r="N31" s="54">
        <f t="shared" si="6"/>
        <v>0</v>
      </c>
      <c r="O31" s="54">
        <f t="shared" si="7"/>
        <v>29.539328560000001</v>
      </c>
      <c r="P31" s="54">
        <f t="shared" si="8"/>
        <v>29.539328560000001</v>
      </c>
      <c r="Q31" s="101"/>
    </row>
    <row r="32" spans="1:17" ht="14" customHeight="1">
      <c r="A32" s="52">
        <v>23</v>
      </c>
      <c r="B32" s="53" t="s">
        <v>95</v>
      </c>
      <c r="C32" s="52" t="s">
        <v>96</v>
      </c>
      <c r="D32" s="54"/>
      <c r="E32" s="54">
        <v>0</v>
      </c>
      <c r="F32" s="54">
        <f t="shared" si="0"/>
        <v>0</v>
      </c>
      <c r="G32" s="54">
        <f t="shared" si="1"/>
        <v>0</v>
      </c>
      <c r="H32" s="54">
        <f t="shared" si="2"/>
        <v>0</v>
      </c>
      <c r="I32" s="54">
        <f t="shared" si="3"/>
        <v>0</v>
      </c>
      <c r="J32" s="54">
        <f t="shared" si="4"/>
        <v>0</v>
      </c>
      <c r="K32" s="54">
        <f>Tongmucthanhtoan2019_2021!K32*2%</f>
        <v>0</v>
      </c>
      <c r="L32" s="54"/>
      <c r="M32" s="54"/>
      <c r="N32" s="54">
        <f t="shared" si="6"/>
        <v>0</v>
      </c>
      <c r="O32" s="54">
        <f t="shared" si="7"/>
        <v>0</v>
      </c>
      <c r="P32" s="54">
        <f t="shared" si="8"/>
        <v>0</v>
      </c>
      <c r="Q32" s="101"/>
    </row>
    <row r="33" spans="1:17" ht="14" customHeight="1">
      <c r="A33" s="52">
        <v>24</v>
      </c>
      <c r="B33" s="53" t="s">
        <v>97</v>
      </c>
      <c r="C33" s="52" t="s">
        <v>98</v>
      </c>
      <c r="D33" s="54"/>
      <c r="E33" s="54">
        <v>0</v>
      </c>
      <c r="F33" s="54">
        <f t="shared" si="0"/>
        <v>0</v>
      </c>
      <c r="G33" s="54">
        <f t="shared" si="1"/>
        <v>0</v>
      </c>
      <c r="H33" s="54">
        <f t="shared" si="2"/>
        <v>0</v>
      </c>
      <c r="I33" s="54">
        <f t="shared" si="3"/>
        <v>0</v>
      </c>
      <c r="J33" s="54">
        <f t="shared" si="4"/>
        <v>0</v>
      </c>
      <c r="K33" s="54">
        <f>Tongmucthanhtoan2019_2021!K33*2%</f>
        <v>0</v>
      </c>
      <c r="L33" s="54"/>
      <c r="M33" s="54"/>
      <c r="N33" s="54">
        <f t="shared" si="6"/>
        <v>0</v>
      </c>
      <c r="O33" s="54">
        <f t="shared" si="7"/>
        <v>0</v>
      </c>
      <c r="P33" s="54">
        <f t="shared" si="8"/>
        <v>0</v>
      </c>
      <c r="Q33" s="101"/>
    </row>
    <row r="34" spans="1:17" ht="14" customHeight="1">
      <c r="A34" s="52">
        <v>25</v>
      </c>
      <c r="B34" s="53" t="s">
        <v>99</v>
      </c>
      <c r="C34" s="52" t="s">
        <v>100</v>
      </c>
      <c r="D34" s="54"/>
      <c r="E34" s="54">
        <v>0</v>
      </c>
      <c r="F34" s="54">
        <f t="shared" si="0"/>
        <v>0</v>
      </c>
      <c r="G34" s="54">
        <f t="shared" si="1"/>
        <v>0</v>
      </c>
      <c r="H34" s="54">
        <f t="shared" si="2"/>
        <v>0</v>
      </c>
      <c r="I34" s="54">
        <f t="shared" si="3"/>
        <v>0</v>
      </c>
      <c r="J34" s="54">
        <f t="shared" si="4"/>
        <v>0</v>
      </c>
      <c r="K34" s="54">
        <f>Tongmucthanhtoan2019_2021!K34*2%</f>
        <v>0</v>
      </c>
      <c r="L34" s="54"/>
      <c r="M34" s="54"/>
      <c r="N34" s="54">
        <f t="shared" si="6"/>
        <v>0</v>
      </c>
      <c r="O34" s="54">
        <f t="shared" si="7"/>
        <v>0</v>
      </c>
      <c r="P34" s="54">
        <f t="shared" si="8"/>
        <v>0</v>
      </c>
      <c r="Q34" s="101"/>
    </row>
    <row r="35" spans="1:17" ht="14" customHeight="1">
      <c r="A35" s="52">
        <v>26</v>
      </c>
      <c r="B35" s="53" t="s">
        <v>38</v>
      </c>
      <c r="C35" s="52" t="s">
        <v>101</v>
      </c>
      <c r="D35" s="54"/>
      <c r="E35" s="54">
        <v>0</v>
      </c>
      <c r="F35" s="54">
        <f t="shared" si="0"/>
        <v>0</v>
      </c>
      <c r="G35" s="54">
        <f t="shared" si="1"/>
        <v>0</v>
      </c>
      <c r="H35" s="54">
        <f t="shared" si="2"/>
        <v>0</v>
      </c>
      <c r="I35" s="54">
        <f t="shared" si="3"/>
        <v>0</v>
      </c>
      <c r="J35" s="54">
        <f t="shared" si="4"/>
        <v>0</v>
      </c>
      <c r="K35" s="54">
        <f>Tongmucthanhtoan2019_2021!K35*2%</f>
        <v>0</v>
      </c>
      <c r="L35" s="54">
        <f>Tongmucthanhtoan2019_2021!M35*2%</f>
        <v>55.127982760000009</v>
      </c>
      <c r="M35" s="54">
        <f t="shared" si="5"/>
        <v>55.127982760000009</v>
      </c>
      <c r="N35" s="54">
        <f t="shared" si="6"/>
        <v>0</v>
      </c>
      <c r="O35" s="54">
        <f t="shared" si="7"/>
        <v>55.127982760000009</v>
      </c>
      <c r="P35" s="54">
        <f t="shared" si="8"/>
        <v>55.127982760000009</v>
      </c>
      <c r="Q35" s="101"/>
    </row>
    <row r="36" spans="1:17" ht="14" customHeight="1">
      <c r="A36" s="52">
        <v>27</v>
      </c>
      <c r="B36" s="53" t="s">
        <v>39</v>
      </c>
      <c r="C36" s="52" t="s">
        <v>102</v>
      </c>
      <c r="D36" s="54"/>
      <c r="E36" s="54">
        <v>0</v>
      </c>
      <c r="F36" s="54">
        <f t="shared" si="0"/>
        <v>0</v>
      </c>
      <c r="G36" s="54">
        <f t="shared" si="1"/>
        <v>0</v>
      </c>
      <c r="H36" s="54">
        <f t="shared" si="2"/>
        <v>0</v>
      </c>
      <c r="I36" s="54">
        <f t="shared" si="3"/>
        <v>0</v>
      </c>
      <c r="J36" s="54">
        <f t="shared" si="4"/>
        <v>0</v>
      </c>
      <c r="K36" s="54">
        <f>Tongmucthanhtoan2019_2021!K36*2%</f>
        <v>0</v>
      </c>
      <c r="L36" s="54">
        <f>Tongmucthanhtoan2019_2021!M36*2%</f>
        <v>37.373066540000003</v>
      </c>
      <c r="M36" s="54">
        <f t="shared" si="5"/>
        <v>37.373066540000003</v>
      </c>
      <c r="N36" s="54">
        <f t="shared" si="6"/>
        <v>0</v>
      </c>
      <c r="O36" s="54">
        <f t="shared" si="7"/>
        <v>37.373066540000003</v>
      </c>
      <c r="P36" s="54">
        <f t="shared" si="8"/>
        <v>37.373066540000003</v>
      </c>
      <c r="Q36" s="101"/>
    </row>
    <row r="37" spans="1:17" ht="14" customHeight="1">
      <c r="A37" s="52">
        <v>28</v>
      </c>
      <c r="B37" s="53" t="s">
        <v>103</v>
      </c>
      <c r="C37" s="52" t="s">
        <v>104</v>
      </c>
      <c r="D37" s="54"/>
      <c r="E37" s="54">
        <v>0</v>
      </c>
      <c r="F37" s="54">
        <f t="shared" si="0"/>
        <v>0</v>
      </c>
      <c r="G37" s="54">
        <f t="shared" si="1"/>
        <v>0</v>
      </c>
      <c r="H37" s="54">
        <f t="shared" si="2"/>
        <v>0</v>
      </c>
      <c r="I37" s="54">
        <f t="shared" si="3"/>
        <v>0</v>
      </c>
      <c r="J37" s="54">
        <f t="shared" si="4"/>
        <v>0</v>
      </c>
      <c r="K37" s="54">
        <f>Tongmucthanhtoan2019_2021!K37*2%</f>
        <v>0</v>
      </c>
      <c r="L37" s="54">
        <f>Tongmucthanhtoan2019_2021!M37*2%</f>
        <v>28.7027131</v>
      </c>
      <c r="M37" s="54">
        <f t="shared" si="5"/>
        <v>28.7027131</v>
      </c>
      <c r="N37" s="54">
        <f t="shared" si="6"/>
        <v>0</v>
      </c>
      <c r="O37" s="54">
        <f t="shared" si="7"/>
        <v>28.7027131</v>
      </c>
      <c r="P37" s="54">
        <f t="shared" si="8"/>
        <v>28.7027131</v>
      </c>
      <c r="Q37" s="101"/>
    </row>
    <row r="38" spans="1:17" ht="14" customHeight="1">
      <c r="A38" s="52">
        <v>29</v>
      </c>
      <c r="B38" s="53" t="s">
        <v>41</v>
      </c>
      <c r="C38" s="52" t="s">
        <v>105</v>
      </c>
      <c r="D38" s="54"/>
      <c r="E38" s="54">
        <v>0</v>
      </c>
      <c r="F38" s="54">
        <f t="shared" si="0"/>
        <v>0</v>
      </c>
      <c r="G38" s="54">
        <f t="shared" si="1"/>
        <v>0</v>
      </c>
      <c r="H38" s="54">
        <f t="shared" si="2"/>
        <v>0</v>
      </c>
      <c r="I38" s="54">
        <f t="shared" si="3"/>
        <v>0</v>
      </c>
      <c r="J38" s="54">
        <f t="shared" si="4"/>
        <v>0</v>
      </c>
      <c r="K38" s="54">
        <f>Tongmucthanhtoan2019_2021!K38*2%</f>
        <v>0</v>
      </c>
      <c r="L38" s="54"/>
      <c r="M38" s="54"/>
      <c r="N38" s="54">
        <f t="shared" si="6"/>
        <v>0</v>
      </c>
      <c r="O38" s="54">
        <f t="shared" si="7"/>
        <v>0</v>
      </c>
      <c r="P38" s="54">
        <f t="shared" si="8"/>
        <v>0</v>
      </c>
      <c r="Q38" s="101"/>
    </row>
    <row r="39" spans="1:17" ht="14" customHeight="1">
      <c r="A39" s="52">
        <v>30</v>
      </c>
      <c r="B39" s="7" t="s">
        <v>68</v>
      </c>
      <c r="C39" s="52">
        <v>52208</v>
      </c>
      <c r="D39" s="54"/>
      <c r="E39" s="54">
        <v>0</v>
      </c>
      <c r="F39" s="54">
        <f t="shared" si="0"/>
        <v>0</v>
      </c>
      <c r="G39" s="54">
        <f t="shared" si="1"/>
        <v>0</v>
      </c>
      <c r="H39" s="54">
        <f t="shared" si="2"/>
        <v>0</v>
      </c>
      <c r="I39" s="54">
        <f t="shared" si="3"/>
        <v>0</v>
      </c>
      <c r="J39" s="54">
        <f t="shared" si="4"/>
        <v>0</v>
      </c>
      <c r="K39" s="54"/>
      <c r="L39" s="54"/>
      <c r="M39" s="54"/>
      <c r="N39" s="54">
        <f t="shared" si="6"/>
        <v>0</v>
      </c>
      <c r="O39" s="54">
        <f t="shared" si="7"/>
        <v>0</v>
      </c>
      <c r="P39" s="54">
        <f t="shared" si="8"/>
        <v>0</v>
      </c>
      <c r="Q39" s="101"/>
    </row>
    <row r="40" spans="1:17" ht="14" customHeight="1">
      <c r="A40" s="52">
        <v>31</v>
      </c>
      <c r="B40" s="53" t="s">
        <v>42</v>
      </c>
      <c r="C40" s="52" t="s">
        <v>106</v>
      </c>
      <c r="D40" s="54"/>
      <c r="E40" s="54">
        <v>0</v>
      </c>
      <c r="F40" s="54">
        <f t="shared" si="0"/>
        <v>0</v>
      </c>
      <c r="G40" s="54">
        <f t="shared" si="1"/>
        <v>0</v>
      </c>
      <c r="H40" s="54">
        <f t="shared" si="2"/>
        <v>0</v>
      </c>
      <c r="I40" s="54">
        <f t="shared" si="3"/>
        <v>0</v>
      </c>
      <c r="J40" s="54">
        <f t="shared" si="4"/>
        <v>0</v>
      </c>
      <c r="K40" s="54">
        <f>Tongmucthanhtoan2019_2021!K40*2%</f>
        <v>0</v>
      </c>
      <c r="L40" s="54"/>
      <c r="M40" s="54"/>
      <c r="N40" s="54">
        <f t="shared" si="6"/>
        <v>0</v>
      </c>
      <c r="O40" s="54">
        <f t="shared" si="7"/>
        <v>0</v>
      </c>
      <c r="P40" s="54">
        <f t="shared" si="8"/>
        <v>0</v>
      </c>
      <c r="Q40" s="101"/>
    </row>
    <row r="41" spans="1:17" ht="14" customHeight="1">
      <c r="A41" s="52">
        <v>32</v>
      </c>
      <c r="B41" s="53" t="s">
        <v>43</v>
      </c>
      <c r="C41" s="52" t="s">
        <v>107</v>
      </c>
      <c r="D41" s="54"/>
      <c r="E41" s="54">
        <v>0</v>
      </c>
      <c r="F41" s="54">
        <f t="shared" si="0"/>
        <v>0</v>
      </c>
      <c r="G41" s="54">
        <f t="shared" si="1"/>
        <v>0</v>
      </c>
      <c r="H41" s="54">
        <f t="shared" si="2"/>
        <v>0</v>
      </c>
      <c r="I41" s="54">
        <f t="shared" si="3"/>
        <v>0</v>
      </c>
      <c r="J41" s="54">
        <f t="shared" si="4"/>
        <v>0</v>
      </c>
      <c r="K41" s="54">
        <f>Tongmucthanhtoan2019_2021!K41*2%</f>
        <v>0</v>
      </c>
      <c r="L41" s="54"/>
      <c r="M41" s="54"/>
      <c r="N41" s="54">
        <f t="shared" si="6"/>
        <v>0</v>
      </c>
      <c r="O41" s="54">
        <f t="shared" si="7"/>
        <v>0</v>
      </c>
      <c r="P41" s="54">
        <f t="shared" si="8"/>
        <v>0</v>
      </c>
      <c r="Q41" s="101"/>
    </row>
    <row r="42" spans="1:17" ht="14" customHeight="1">
      <c r="A42" s="52">
        <v>33</v>
      </c>
      <c r="B42" s="53" t="s">
        <v>44</v>
      </c>
      <c r="C42" s="52">
        <v>52205</v>
      </c>
      <c r="D42" s="54"/>
      <c r="E42" s="54">
        <v>0</v>
      </c>
      <c r="F42" s="54">
        <f t="shared" si="0"/>
        <v>0</v>
      </c>
      <c r="G42" s="54">
        <f t="shared" si="1"/>
        <v>0</v>
      </c>
      <c r="H42" s="54">
        <f t="shared" si="2"/>
        <v>0</v>
      </c>
      <c r="I42" s="54">
        <f t="shared" si="3"/>
        <v>0</v>
      </c>
      <c r="J42" s="54">
        <f t="shared" si="4"/>
        <v>0</v>
      </c>
      <c r="K42" s="54">
        <f>Tongmucthanhtoan2019_2021!K42*2%</f>
        <v>0</v>
      </c>
      <c r="L42" s="54"/>
      <c r="M42" s="54"/>
      <c r="N42" s="54">
        <f t="shared" si="6"/>
        <v>0</v>
      </c>
      <c r="O42" s="54">
        <f t="shared" si="7"/>
        <v>0</v>
      </c>
      <c r="P42" s="54">
        <f t="shared" si="8"/>
        <v>0</v>
      </c>
    </row>
    <row r="43" spans="1:17" ht="14" customHeight="1">
      <c r="A43" s="52">
        <v>34</v>
      </c>
      <c r="B43" s="53" t="s">
        <v>45</v>
      </c>
      <c r="C43" s="52">
        <v>52207</v>
      </c>
      <c r="D43" s="54"/>
      <c r="E43" s="54">
        <v>0</v>
      </c>
      <c r="F43" s="54">
        <f t="shared" si="0"/>
        <v>0</v>
      </c>
      <c r="G43" s="54">
        <f t="shared" si="1"/>
        <v>0</v>
      </c>
      <c r="H43" s="54">
        <f t="shared" si="2"/>
        <v>0</v>
      </c>
      <c r="I43" s="54">
        <f t="shared" si="3"/>
        <v>0</v>
      </c>
      <c r="J43" s="54">
        <f t="shared" si="4"/>
        <v>0</v>
      </c>
      <c r="K43" s="54">
        <f>Tongmucthanhtoan2019_2021!K43*2%</f>
        <v>0</v>
      </c>
      <c r="L43" s="54"/>
      <c r="M43" s="54"/>
      <c r="N43" s="54">
        <f t="shared" si="6"/>
        <v>0</v>
      </c>
      <c r="O43" s="54">
        <f t="shared" si="7"/>
        <v>0</v>
      </c>
      <c r="P43" s="54">
        <f t="shared" si="8"/>
        <v>0</v>
      </c>
    </row>
    <row r="44" spans="1:17" ht="14" customHeight="1">
      <c r="A44" s="55"/>
      <c r="B44" s="55" t="s">
        <v>108</v>
      </c>
      <c r="C44" s="56"/>
      <c r="D44" s="57">
        <f>SUM(D10:D43)</f>
        <v>12913</v>
      </c>
      <c r="E44" s="57">
        <f t="shared" ref="E44:P44" si="9">SUM(E10:E43)</f>
        <v>56110.91683753996</v>
      </c>
      <c r="F44" s="57">
        <f t="shared" si="9"/>
        <v>7586.3875000000007</v>
      </c>
      <c r="G44" s="57">
        <f t="shared" si="9"/>
        <v>32965.163642054722</v>
      </c>
      <c r="H44" s="57">
        <f t="shared" si="9"/>
        <v>20499.387500000001</v>
      </c>
      <c r="I44" s="57">
        <f t="shared" si="9"/>
        <v>89076.08047959469</v>
      </c>
      <c r="J44" s="57">
        <f t="shared" si="9"/>
        <v>59384.053653063122</v>
      </c>
      <c r="K44" s="57">
        <f t="shared" si="9"/>
        <v>45979.536381251448</v>
      </c>
      <c r="L44" s="57">
        <f t="shared" si="9"/>
        <v>15533.486558772793</v>
      </c>
      <c r="M44" s="57">
        <f t="shared" si="9"/>
        <v>61513.022940024261</v>
      </c>
      <c r="N44" s="57">
        <f t="shared" si="9"/>
        <v>105363.59003431455</v>
      </c>
      <c r="O44" s="57">
        <f t="shared" si="9"/>
        <v>15533.486558772793</v>
      </c>
      <c r="P44" s="57">
        <f t="shared" si="9"/>
        <v>120897.07659308737</v>
      </c>
    </row>
    <row r="45" spans="1:17">
      <c r="A45" s="63"/>
      <c r="B45" s="63"/>
      <c r="C45" s="63"/>
      <c r="D45" s="64"/>
      <c r="E45" s="64"/>
      <c r="F45" s="64"/>
      <c r="G45" s="64"/>
      <c r="H45" s="64"/>
      <c r="I45" s="64"/>
      <c r="J45" s="64"/>
    </row>
    <row r="46" spans="1:17">
      <c r="A46"/>
      <c r="B46"/>
      <c r="C46"/>
      <c r="D46"/>
      <c r="E46"/>
      <c r="F46"/>
      <c r="G46"/>
      <c r="H46"/>
      <c r="I46"/>
      <c r="J46"/>
    </row>
    <row r="47" spans="1:17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50" spans="7:10">
      <c r="G50" s="67"/>
      <c r="I50" s="67"/>
      <c r="J50" s="67"/>
    </row>
  </sheetData>
  <mergeCells count="20">
    <mergeCell ref="K5:M5"/>
    <mergeCell ref="K6:K8"/>
    <mergeCell ref="L6:L8"/>
    <mergeCell ref="M6:M8"/>
    <mergeCell ref="N4:P4"/>
    <mergeCell ref="F6:G7"/>
    <mergeCell ref="N1:P1"/>
    <mergeCell ref="A3:P3"/>
    <mergeCell ref="A1:C1"/>
    <mergeCell ref="A2:C2"/>
    <mergeCell ref="A5:A8"/>
    <mergeCell ref="B5:B8"/>
    <mergeCell ref="C5:C8"/>
    <mergeCell ref="D6:E7"/>
    <mergeCell ref="D5:J5"/>
    <mergeCell ref="H6:J6"/>
    <mergeCell ref="N5:P5"/>
    <mergeCell ref="N6:N8"/>
    <mergeCell ref="O6:O8"/>
    <mergeCell ref="P6:P8"/>
  </mergeCells>
  <pageMargins left="0.34" right="0.2" top="0.2" bottom="0.2" header="0.3" footer="0.2"/>
  <pageSetup paperSize="9" scale="9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FA7F-8A1F-40C8-9A43-D8D7A6AED839}">
  <dimension ref="A1:AD43"/>
  <sheetViews>
    <sheetView tabSelected="1" workbookViewId="0">
      <selection activeCell="C5" sqref="C5:C7"/>
    </sheetView>
  </sheetViews>
  <sheetFormatPr defaultRowHeight="14.5"/>
  <cols>
    <col min="1" max="1" width="5" style="1" customWidth="1"/>
    <col min="2" max="2" width="30.453125" style="1" customWidth="1"/>
    <col min="3" max="3" width="5.26953125" style="1" customWidth="1"/>
    <col min="4" max="4" width="6.36328125" style="2" customWidth="1"/>
    <col min="5" max="5" width="6.81640625" style="2" customWidth="1"/>
    <col min="6" max="6" width="5.81640625" style="2" customWidth="1"/>
    <col min="7" max="7" width="6.1796875" style="2" customWidth="1"/>
    <col min="8" max="8" width="7.08984375" style="2" customWidth="1"/>
    <col min="9" max="9" width="5.6328125" style="2" customWidth="1"/>
    <col min="10" max="24" width="8.453125" style="2" customWidth="1"/>
    <col min="28" max="28" width="9.90625" bestFit="1" customWidth="1"/>
  </cols>
  <sheetData>
    <row r="1" spans="1:30">
      <c r="A1" s="222" t="s">
        <v>3</v>
      </c>
      <c r="B1" s="222"/>
      <c r="C1" s="222"/>
      <c r="D1" s="222"/>
      <c r="V1" s="225" t="s">
        <v>254</v>
      </c>
      <c r="W1" s="225"/>
      <c r="X1" s="225"/>
    </row>
    <row r="2" spans="1:30">
      <c r="A2" s="223" t="s">
        <v>109</v>
      </c>
      <c r="B2" s="223"/>
      <c r="C2" s="223"/>
      <c r="D2" s="223"/>
    </row>
    <row r="3" spans="1:30" ht="24.5" customHeight="1">
      <c r="A3" s="257" t="s">
        <v>207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</row>
    <row r="4" spans="1:30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26" t="s">
        <v>4</v>
      </c>
      <c r="W4" s="226"/>
      <c r="X4" s="226"/>
    </row>
    <row r="5" spans="1:30" ht="28.5" customHeight="1">
      <c r="A5" s="212" t="s">
        <v>5</v>
      </c>
      <c r="B5" s="215" t="s">
        <v>6</v>
      </c>
      <c r="C5" s="215" t="s">
        <v>7</v>
      </c>
      <c r="D5" s="218" t="s">
        <v>124</v>
      </c>
      <c r="E5" s="219"/>
      <c r="F5" s="219"/>
      <c r="G5" s="219"/>
      <c r="H5" s="219"/>
      <c r="I5" s="220"/>
      <c r="J5" s="219" t="s">
        <v>242</v>
      </c>
      <c r="K5" s="219"/>
      <c r="L5" s="220"/>
      <c r="M5" s="218" t="s">
        <v>125</v>
      </c>
      <c r="N5" s="219"/>
      <c r="O5" s="219"/>
      <c r="P5" s="219"/>
      <c r="Q5" s="219"/>
      <c r="R5" s="220"/>
      <c r="S5" s="218" t="s">
        <v>10</v>
      </c>
      <c r="T5" s="219"/>
      <c r="U5" s="219"/>
      <c r="V5" s="219"/>
      <c r="W5" s="219"/>
      <c r="X5" s="220"/>
    </row>
    <row r="6" spans="1:30">
      <c r="A6" s="213"/>
      <c r="B6" s="216"/>
      <c r="C6" s="216"/>
      <c r="D6" s="210" t="s">
        <v>8</v>
      </c>
      <c r="E6" s="221"/>
      <c r="F6" s="210" t="s">
        <v>9</v>
      </c>
      <c r="G6" s="221"/>
      <c r="H6" s="210" t="s">
        <v>246</v>
      </c>
      <c r="I6" s="211"/>
      <c r="J6" s="215" t="s">
        <v>8</v>
      </c>
      <c r="K6" s="215" t="s">
        <v>9</v>
      </c>
      <c r="L6" s="255" t="s">
        <v>246</v>
      </c>
      <c r="M6" s="210" t="s">
        <v>8</v>
      </c>
      <c r="N6" s="221"/>
      <c r="O6" s="210" t="s">
        <v>9</v>
      </c>
      <c r="P6" s="221"/>
      <c r="Q6" s="210" t="s">
        <v>246</v>
      </c>
      <c r="R6" s="211"/>
      <c r="S6" s="210" t="s">
        <v>8</v>
      </c>
      <c r="T6" s="221"/>
      <c r="U6" s="210" t="s">
        <v>9</v>
      </c>
      <c r="V6" s="221"/>
      <c r="W6" s="210" t="s">
        <v>246</v>
      </c>
      <c r="X6" s="211"/>
    </row>
    <row r="7" spans="1:30" ht="26">
      <c r="A7" s="214"/>
      <c r="B7" s="214"/>
      <c r="C7" s="217"/>
      <c r="D7" s="4" t="s">
        <v>11</v>
      </c>
      <c r="E7" s="4" t="s">
        <v>12</v>
      </c>
      <c r="F7" s="4" t="s">
        <v>11</v>
      </c>
      <c r="G7" s="4" t="s">
        <v>12</v>
      </c>
      <c r="H7" s="5" t="s">
        <v>11</v>
      </c>
      <c r="I7" s="5" t="s">
        <v>12</v>
      </c>
      <c r="J7" s="217"/>
      <c r="K7" s="217"/>
      <c r="L7" s="256"/>
      <c r="M7" s="4" t="s">
        <v>11</v>
      </c>
      <c r="N7" s="4" t="s">
        <v>12</v>
      </c>
      <c r="O7" s="4" t="s">
        <v>11</v>
      </c>
      <c r="P7" s="4" t="s">
        <v>12</v>
      </c>
      <c r="Q7" s="5" t="s">
        <v>11</v>
      </c>
      <c r="R7" s="5" t="s">
        <v>12</v>
      </c>
      <c r="S7" s="4" t="s">
        <v>11</v>
      </c>
      <c r="T7" s="4" t="s">
        <v>12</v>
      </c>
      <c r="U7" s="4" t="s">
        <v>11</v>
      </c>
      <c r="V7" s="4" t="s">
        <v>12</v>
      </c>
      <c r="W7" s="5" t="s">
        <v>11</v>
      </c>
      <c r="X7" s="5" t="s">
        <v>12</v>
      </c>
    </row>
    <row r="8" spans="1:30" ht="16" customHeight="1">
      <c r="A8" s="6">
        <v>1</v>
      </c>
      <c r="B8" s="7" t="s">
        <v>13</v>
      </c>
      <c r="C8" s="7">
        <v>52001</v>
      </c>
      <c r="D8" s="8">
        <f>ChiKCB_2021!P9*0.94%</f>
        <v>596.01639999999986</v>
      </c>
      <c r="E8" s="8">
        <f>(ChiKCB_2021!Q9/ChiKCB_2021!P9)*Giatang2022!D8</f>
        <v>3884.7722840367564</v>
      </c>
      <c r="F8" s="8">
        <f>ChiKCB_2021!R9*0.94%</f>
        <v>1474.8317999999997</v>
      </c>
      <c r="G8" s="8">
        <f>(ChiKCB_2021!S9/ChiKCB_2021!R9)*Giatang2022!F8</f>
        <v>971.24415655512598</v>
      </c>
      <c r="H8" s="9">
        <f>D8+F8</f>
        <v>2070.8481999999995</v>
      </c>
      <c r="I8" s="9">
        <f>E8+G8</f>
        <v>4856.0164405918822</v>
      </c>
      <c r="J8" s="17">
        <f>ChiKCB_2021!Q9*1%</f>
        <v>4132.736472379529</v>
      </c>
      <c r="K8" s="17">
        <f>ChiKCB_2021!S9*0.5%</f>
        <v>516.61923221017355</v>
      </c>
      <c r="L8" s="9">
        <f t="shared" ref="L8:L41" si="0">J8+K8</f>
        <v>4649.3557045897023</v>
      </c>
      <c r="M8" s="17">
        <v>16392.923941190118</v>
      </c>
      <c r="N8" s="17">
        <f>(ChiKCB_2021!Q9/ChiKCB_2021!P9)*M8*95%</f>
        <v>101504.98837281167</v>
      </c>
      <c r="O8" s="17">
        <v>36154.781733598582</v>
      </c>
      <c r="P8" s="17">
        <f>(ChiKCB_2021!S9/ChiKCB_2021!R9)*O8*95%</f>
        <v>22619.097625756003</v>
      </c>
      <c r="Q8" s="9">
        <f>M8+O8</f>
        <v>52547.705674788696</v>
      </c>
      <c r="R8" s="9">
        <f>N8+P8</f>
        <v>124124.08599856767</v>
      </c>
      <c r="S8" s="17">
        <f>D8+M8</f>
        <v>16988.940341190118</v>
      </c>
      <c r="T8" s="17">
        <f t="shared" ref="T8:T41" si="1">E8+J8+N8</f>
        <v>109522.49712922795</v>
      </c>
      <c r="U8" s="17">
        <f>F8+O8</f>
        <v>37629.613533598582</v>
      </c>
      <c r="V8" s="17">
        <f t="shared" ref="V8:V41" si="2">G8+K8+P8</f>
        <v>24106.961014521301</v>
      </c>
      <c r="W8" s="9">
        <f>S8+U8</f>
        <v>54618.553874788704</v>
      </c>
      <c r="X8" s="9">
        <f>T8+V8</f>
        <v>133629.45814374925</v>
      </c>
      <c r="AC8" s="101"/>
      <c r="AD8" s="101"/>
    </row>
    <row r="9" spans="1:30" ht="16" customHeight="1">
      <c r="A9" s="6">
        <v>2</v>
      </c>
      <c r="B9" s="7" t="s">
        <v>14</v>
      </c>
      <c r="C9" s="7">
        <v>52002</v>
      </c>
      <c r="D9" s="8">
        <f>ChiKCB_2021!P10*0.94%</f>
        <v>140.48299999999998</v>
      </c>
      <c r="E9" s="8">
        <f>(ChiKCB_2021!Q10/ChiKCB_2021!P10)*Giatang2022!D9</f>
        <v>372.70825864210616</v>
      </c>
      <c r="F9" s="8">
        <f>ChiKCB_2021!R10*0.94%</f>
        <v>1354.5869999999998</v>
      </c>
      <c r="G9" s="8">
        <f>(ChiKCB_2021!S10/ChiKCB_2021!R10)*Giatang2022!F9</f>
        <v>256.24153897058136</v>
      </c>
      <c r="H9" s="9">
        <f t="shared" ref="H9:H41" si="3">D9+F9</f>
        <v>1495.0699999999997</v>
      </c>
      <c r="I9" s="9">
        <f t="shared" ref="I9:I41" si="4">E9+G9</f>
        <v>628.94979761268746</v>
      </c>
      <c r="J9" s="17">
        <f>ChiKCB_2021!Q10*0.5%</f>
        <v>198.24907374580118</v>
      </c>
      <c r="K9" s="17">
        <f>ChiKCB_2021!S10*0.5%</f>
        <v>136.29869094179861</v>
      </c>
      <c r="L9" s="9">
        <f t="shared" si="0"/>
        <v>334.54776468759979</v>
      </c>
      <c r="M9" s="17">
        <v>6302.4789169410005</v>
      </c>
      <c r="N9" s="17">
        <f>(ChiKCB_2021!Q10/ChiKCB_2021!P10)*M9*95%</f>
        <v>15884.745094770075</v>
      </c>
      <c r="O9" s="17">
        <v>25114.399874949009</v>
      </c>
      <c r="P9" s="17">
        <f>(ChiKCB_2021!S10/ChiKCB_2021!R10)*O9*95%</f>
        <v>4513.2463625928312</v>
      </c>
      <c r="Q9" s="9">
        <f t="shared" ref="Q9:Q41" si="5">M9+O9</f>
        <v>31416.878791890009</v>
      </c>
      <c r="R9" s="9">
        <f t="shared" ref="R9:R41" si="6">N9+P9</f>
        <v>20397.991457362907</v>
      </c>
      <c r="S9" s="17">
        <f t="shared" ref="S9:S41" si="7">D9+M9</f>
        <v>6442.9619169410007</v>
      </c>
      <c r="T9" s="17">
        <f t="shared" si="1"/>
        <v>16455.702427157983</v>
      </c>
      <c r="U9" s="17">
        <f t="shared" ref="U9:U41" si="8">F9+O9</f>
        <v>26468.986874949009</v>
      </c>
      <c r="V9" s="17">
        <f t="shared" si="2"/>
        <v>4905.786592505211</v>
      </c>
      <c r="W9" s="9">
        <f t="shared" ref="W9:W41" si="9">S9+U9</f>
        <v>32911.948791890012</v>
      </c>
      <c r="X9" s="9">
        <f t="shared" ref="X9:X41" si="10">T9+V9</f>
        <v>21361.489019663193</v>
      </c>
      <c r="AC9" s="101"/>
      <c r="AD9" s="101"/>
    </row>
    <row r="10" spans="1:30" ht="16" customHeight="1">
      <c r="A10" s="6">
        <v>3</v>
      </c>
      <c r="B10" s="7" t="s">
        <v>15</v>
      </c>
      <c r="C10" s="7">
        <v>52006</v>
      </c>
      <c r="D10" s="8">
        <f>ChiKCB_2021!P11*0.94%</f>
        <v>90.014399999999981</v>
      </c>
      <c r="E10" s="8">
        <f>(ChiKCB_2021!Q11/ChiKCB_2021!P11)*Giatang2022!D10</f>
        <v>151.81013376327161</v>
      </c>
      <c r="F10" s="8">
        <f>ChiKCB_2021!R11*0.94%</f>
        <v>1197.8231999999998</v>
      </c>
      <c r="G10" s="8">
        <f>(ChiKCB_2021!S11/ChiKCB_2021!R11)*Giatang2022!F10</f>
        <v>158.49855158236352</v>
      </c>
      <c r="H10" s="9">
        <f t="shared" si="3"/>
        <v>1287.8375999999998</v>
      </c>
      <c r="I10" s="9">
        <f t="shared" si="4"/>
        <v>310.30868534563513</v>
      </c>
      <c r="J10" s="17">
        <f>ChiKCB_2021!Q11*0.5%</f>
        <v>80.750071150676405</v>
      </c>
      <c r="K10" s="17">
        <f>ChiKCB_2021!S11*0.5%</f>
        <v>84.307740203384881</v>
      </c>
      <c r="L10" s="9">
        <f t="shared" si="0"/>
        <v>165.0578113540613</v>
      </c>
      <c r="M10" s="17">
        <v>2578.2880825088</v>
      </c>
      <c r="N10" s="17">
        <f>(ChiKCB_2021!Q11/ChiKCB_2021!P11)*M10*95%</f>
        <v>4130.8917878874336</v>
      </c>
      <c r="O10" s="17">
        <v>31022.829303586397</v>
      </c>
      <c r="P10" s="17">
        <f>(ChiKCB_2021!S11/ChiKCB_2021!R11)*O10*95%</f>
        <v>3899.7573557392111</v>
      </c>
      <c r="Q10" s="9">
        <f t="shared" si="5"/>
        <v>33601.117386095197</v>
      </c>
      <c r="R10" s="9">
        <f t="shared" si="6"/>
        <v>8030.6491436266442</v>
      </c>
      <c r="S10" s="17">
        <f t="shared" si="7"/>
        <v>2668.3024825088</v>
      </c>
      <c r="T10" s="17">
        <f t="shared" si="1"/>
        <v>4363.4519928013815</v>
      </c>
      <c r="U10" s="17">
        <f t="shared" si="8"/>
        <v>32220.652503586396</v>
      </c>
      <c r="V10" s="17">
        <f t="shared" si="2"/>
        <v>4142.5636475249594</v>
      </c>
      <c r="W10" s="9">
        <f t="shared" si="9"/>
        <v>34888.954986095196</v>
      </c>
      <c r="X10" s="9">
        <f t="shared" si="10"/>
        <v>8506.0156403263409</v>
      </c>
      <c r="AC10" s="101"/>
      <c r="AD10" s="101"/>
    </row>
    <row r="11" spans="1:30" ht="16" customHeight="1">
      <c r="A11" s="6">
        <v>4</v>
      </c>
      <c r="B11" s="7" t="s">
        <v>16</v>
      </c>
      <c r="C11" s="7">
        <v>52007</v>
      </c>
      <c r="D11" s="8">
        <f>ChiKCB_2021!P12*0.94%</f>
        <v>160.30759999999998</v>
      </c>
      <c r="E11" s="8">
        <f>(ChiKCB_2021!Q12/ChiKCB_2021!P12)*Giatang2022!D11</f>
        <v>256.83796732811612</v>
      </c>
      <c r="F11" s="8">
        <f>ChiKCB_2021!R12*0.94%</f>
        <v>1310.6325999999999</v>
      </c>
      <c r="G11" s="8">
        <f>(ChiKCB_2021!S12/ChiKCB_2021!R12)*Giatang2022!F11</f>
        <v>157.43126689092853</v>
      </c>
      <c r="H11" s="9">
        <f t="shared" si="3"/>
        <v>1470.9402</v>
      </c>
      <c r="I11" s="9">
        <f t="shared" si="4"/>
        <v>414.26923421904462</v>
      </c>
      <c r="J11" s="17">
        <f>ChiKCB_2021!Q12*0.5%</f>
        <v>136.6159400681469</v>
      </c>
      <c r="K11" s="17">
        <f>ChiKCB_2021!S12*0.5%</f>
        <v>83.74003558028113</v>
      </c>
      <c r="L11" s="9">
        <f t="shared" si="0"/>
        <v>220.35597564842803</v>
      </c>
      <c r="M11" s="17">
        <v>5980.0589627379186</v>
      </c>
      <c r="N11" s="17">
        <f>(ChiKCB_2021!Q12/ChiKCB_2021!P12)*M11*95%</f>
        <v>9101.9445058580823</v>
      </c>
      <c r="O11" s="17">
        <v>52361.297999060189</v>
      </c>
      <c r="P11" s="17">
        <f>(ChiKCB_2021!S12/ChiKCB_2021!R12)*O11*95%</f>
        <v>5975.0842501881998</v>
      </c>
      <c r="Q11" s="9">
        <f t="shared" si="5"/>
        <v>58341.356961798105</v>
      </c>
      <c r="R11" s="9">
        <f t="shared" si="6"/>
        <v>15077.028756046282</v>
      </c>
      <c r="S11" s="17">
        <f t="shared" si="7"/>
        <v>6140.3665627379187</v>
      </c>
      <c r="T11" s="17">
        <f t="shared" si="1"/>
        <v>9495.3984132543446</v>
      </c>
      <c r="U11" s="17">
        <f t="shared" si="8"/>
        <v>53671.930599060186</v>
      </c>
      <c r="V11" s="17">
        <f t="shared" si="2"/>
        <v>6216.2555526594097</v>
      </c>
      <c r="W11" s="9">
        <f t="shared" si="9"/>
        <v>59812.297161798102</v>
      </c>
      <c r="X11" s="9">
        <f t="shared" si="10"/>
        <v>15711.653965913754</v>
      </c>
      <c r="AC11" s="101"/>
      <c r="AD11" s="101"/>
    </row>
    <row r="12" spans="1:30" ht="16" customHeight="1">
      <c r="A12" s="6">
        <v>5</v>
      </c>
      <c r="B12" s="7" t="s">
        <v>17</v>
      </c>
      <c r="C12" s="7">
        <v>52009</v>
      </c>
      <c r="D12" s="8">
        <f>ChiKCB_2021!P13*0.94%</f>
        <v>93.943599999999989</v>
      </c>
      <c r="E12" s="8">
        <f>(ChiKCB_2021!Q13/ChiKCB_2021!P13)*Giatang2022!D12</f>
        <v>188.01724289264666</v>
      </c>
      <c r="F12" s="8">
        <f>ChiKCB_2021!R13*0.94%</f>
        <v>1945.7059999999997</v>
      </c>
      <c r="G12" s="8">
        <f>(ChiKCB_2021!S13/ChiKCB_2021!R13)*Giatang2022!F12</f>
        <v>238.23004424318887</v>
      </c>
      <c r="H12" s="9">
        <f t="shared" si="3"/>
        <v>2039.6495999999997</v>
      </c>
      <c r="I12" s="9">
        <f t="shared" si="4"/>
        <v>426.24728713583556</v>
      </c>
      <c r="J12" s="17">
        <f>ChiKCB_2021!Q13*0.5%</f>
        <v>100.00917175140782</v>
      </c>
      <c r="K12" s="17">
        <f>ChiKCB_2021!S13*0.5%</f>
        <v>126.7181086399941</v>
      </c>
      <c r="L12" s="9">
        <f t="shared" si="0"/>
        <v>226.72728039140191</v>
      </c>
      <c r="M12" s="17">
        <v>2977.8746575093705</v>
      </c>
      <c r="N12" s="17">
        <f>(ChiKCB_2021!Q13/ChiKCB_2021!P13)*M12*95%</f>
        <v>5661.8779102094932</v>
      </c>
      <c r="O12" s="17">
        <v>49221.635888861987</v>
      </c>
      <c r="P12" s="17">
        <f>(ChiKCB_2021!S13/ChiKCB_2021!R13)*O12*95%</f>
        <v>5725.3094099259806</v>
      </c>
      <c r="Q12" s="9">
        <f t="shared" si="5"/>
        <v>52199.510546371355</v>
      </c>
      <c r="R12" s="9">
        <f t="shared" si="6"/>
        <v>11387.187320135474</v>
      </c>
      <c r="S12" s="17">
        <f t="shared" si="7"/>
        <v>3071.8182575093706</v>
      </c>
      <c r="T12" s="17">
        <f t="shared" si="1"/>
        <v>5949.9043248535472</v>
      </c>
      <c r="U12" s="17">
        <f t="shared" si="8"/>
        <v>51167.341888861985</v>
      </c>
      <c r="V12" s="17">
        <f t="shared" si="2"/>
        <v>6090.2575628091636</v>
      </c>
      <c r="W12" s="9">
        <f t="shared" si="9"/>
        <v>54239.16014637136</v>
      </c>
      <c r="X12" s="9">
        <f t="shared" si="10"/>
        <v>12040.161887662711</v>
      </c>
      <c r="AC12" s="101"/>
      <c r="AD12" s="101"/>
    </row>
    <row r="13" spans="1:30" ht="16" customHeight="1">
      <c r="A13" s="6">
        <v>6</v>
      </c>
      <c r="B13" s="7" t="s">
        <v>18</v>
      </c>
      <c r="C13" s="7">
        <v>52015</v>
      </c>
      <c r="D13" s="8">
        <f>ChiKCB_2021!P14*0.94%</f>
        <v>72.840599999999995</v>
      </c>
      <c r="E13" s="8">
        <f>(ChiKCB_2021!Q14/ChiKCB_2021!P14)*Giatang2022!D13</f>
        <v>120.42846768373016</v>
      </c>
      <c r="F13" s="8">
        <f>ChiKCB_2021!R14*0.94%</f>
        <v>1146.4239999999998</v>
      </c>
      <c r="G13" s="8">
        <f>(ChiKCB_2021!S14/ChiKCB_2021!R14)*Giatang2022!F13</f>
        <v>146.58237672570363</v>
      </c>
      <c r="H13" s="9">
        <f t="shared" si="3"/>
        <v>1219.2645999999997</v>
      </c>
      <c r="I13" s="9">
        <f t="shared" si="4"/>
        <v>267.01084440943379</v>
      </c>
      <c r="J13" s="17">
        <f>ChiKCB_2021!Q14*0.5%</f>
        <v>64.057695576452232</v>
      </c>
      <c r="K13" s="17">
        <f>ChiKCB_2021!S14*0.5%</f>
        <v>77.969349322182794</v>
      </c>
      <c r="L13" s="9">
        <f t="shared" si="0"/>
        <v>142.02704489863504</v>
      </c>
      <c r="M13" s="17">
        <v>3064.9014140761997</v>
      </c>
      <c r="N13" s="17">
        <f>(ChiKCB_2021!Q14/ChiKCB_2021!P14)*M13</f>
        <v>5067.2479482444478</v>
      </c>
      <c r="O13" s="17">
        <v>22636.641445647994</v>
      </c>
      <c r="P13" s="17">
        <f>(ChiKCB_2021!S14/ChiKCB_2021!R14)*O13</f>
        <v>2894.3329031760072</v>
      </c>
      <c r="Q13" s="9">
        <f t="shared" si="5"/>
        <v>25701.542859724195</v>
      </c>
      <c r="R13" s="9">
        <f t="shared" si="6"/>
        <v>7961.5808514204546</v>
      </c>
      <c r="S13" s="17">
        <f t="shared" si="7"/>
        <v>3137.7420140761997</v>
      </c>
      <c r="T13" s="17">
        <f t="shared" si="1"/>
        <v>5251.7341115046302</v>
      </c>
      <c r="U13" s="17">
        <f t="shared" si="8"/>
        <v>23783.065445647993</v>
      </c>
      <c r="V13" s="17">
        <f t="shared" si="2"/>
        <v>3118.8846292238936</v>
      </c>
      <c r="W13" s="9">
        <f t="shared" si="9"/>
        <v>26920.807459724194</v>
      </c>
      <c r="X13" s="9">
        <f t="shared" si="10"/>
        <v>8370.6187407285233</v>
      </c>
      <c r="AC13" s="101"/>
      <c r="AD13" s="101"/>
    </row>
    <row r="14" spans="1:30" ht="16" customHeight="1">
      <c r="A14" s="6">
        <v>7</v>
      </c>
      <c r="B14" s="7" t="s">
        <v>19</v>
      </c>
      <c r="C14" s="7">
        <v>52014</v>
      </c>
      <c r="D14" s="8">
        <f>ChiKCB_2021!P15*0.94%</f>
        <v>64.521599999999992</v>
      </c>
      <c r="E14" s="8">
        <f>(ChiKCB_2021!Q15/ChiKCB_2021!P15)*Giatang2022!D14</f>
        <v>124.50492014458821</v>
      </c>
      <c r="F14" s="8">
        <f>ChiKCB_2021!R15*0.94%</f>
        <v>661.12079999999992</v>
      </c>
      <c r="G14" s="8">
        <f>(ChiKCB_2021!S15/ChiKCB_2021!R15)*Giatang2022!F14</f>
        <v>73.872485517837831</v>
      </c>
      <c r="H14" s="9">
        <f t="shared" si="3"/>
        <v>725.64239999999995</v>
      </c>
      <c r="I14" s="9">
        <f t="shared" si="4"/>
        <v>198.37740566242604</v>
      </c>
      <c r="J14" s="17">
        <f>ChiKCB_2021!Q15*0.5%</f>
        <v>66.226021353504379</v>
      </c>
      <c r="K14" s="17">
        <f>ChiKCB_2021!S15*0.5%</f>
        <v>39.293875275445657</v>
      </c>
      <c r="L14" s="9">
        <f t="shared" si="0"/>
        <v>105.51989662895004</v>
      </c>
      <c r="M14" s="17">
        <v>2782.8175907119207</v>
      </c>
      <c r="N14" s="17">
        <f>(ChiKCB_2021!Q15/ChiKCB_2021!P15)*M14*95%</f>
        <v>5101.4041470316279</v>
      </c>
      <c r="O14" s="17">
        <v>30771.572617101599</v>
      </c>
      <c r="P14" s="17">
        <f>(ChiKCB_2021!S15/ChiKCB_2021!R15)*O14*95%</f>
        <v>3266.4437798539029</v>
      </c>
      <c r="Q14" s="9">
        <f t="shared" si="5"/>
        <v>33554.390207813522</v>
      </c>
      <c r="R14" s="9">
        <f t="shared" si="6"/>
        <v>8367.8479268855299</v>
      </c>
      <c r="S14" s="17">
        <f t="shared" si="7"/>
        <v>2847.3391907119208</v>
      </c>
      <c r="T14" s="17">
        <f t="shared" si="1"/>
        <v>5292.1350885297206</v>
      </c>
      <c r="U14" s="17">
        <f t="shared" si="8"/>
        <v>31432.6934171016</v>
      </c>
      <c r="V14" s="17">
        <f t="shared" si="2"/>
        <v>3379.6101406471862</v>
      </c>
      <c r="W14" s="9">
        <f t="shared" si="9"/>
        <v>34280.032607813519</v>
      </c>
      <c r="X14" s="9">
        <f t="shared" si="10"/>
        <v>8671.7452291769077</v>
      </c>
      <c r="AC14" s="101"/>
      <c r="AD14" s="101"/>
    </row>
    <row r="15" spans="1:30" ht="16" customHeight="1">
      <c r="A15" s="6">
        <v>8</v>
      </c>
      <c r="B15" s="7" t="s">
        <v>20</v>
      </c>
      <c r="C15" s="7">
        <v>52013</v>
      </c>
      <c r="D15" s="8">
        <f>ChiKCB_2021!P16*0.94%</f>
        <v>55.817199999999993</v>
      </c>
      <c r="E15" s="8">
        <f>(ChiKCB_2021!Q16/ChiKCB_2021!P16)*Giatang2022!D15</f>
        <v>94.412332583351883</v>
      </c>
      <c r="F15" s="8">
        <f>ChiKCB_2021!R16*0.94%</f>
        <v>597.1819999999999</v>
      </c>
      <c r="G15" s="8">
        <f>(ChiKCB_2021!S16/ChiKCB_2021!R16)*Giatang2022!F15</f>
        <v>76.263874360819116</v>
      </c>
      <c r="H15" s="9">
        <f t="shared" si="3"/>
        <v>652.99919999999986</v>
      </c>
      <c r="I15" s="9">
        <f t="shared" si="4"/>
        <v>170.67620694417099</v>
      </c>
      <c r="J15" s="17">
        <f>ChiKCB_2021!Q16*0.5%</f>
        <v>50.219325842208455</v>
      </c>
      <c r="K15" s="17">
        <f>ChiKCB_2021!S16*0.5%</f>
        <v>40.565890617456986</v>
      </c>
      <c r="L15" s="9">
        <f t="shared" si="0"/>
        <v>90.785216459665435</v>
      </c>
      <c r="M15" s="17">
        <v>1825.5128366243996</v>
      </c>
      <c r="N15" s="17">
        <f>(ChiKCB_2021!Q16/ChiKCB_2021!P16)*M15*95%</f>
        <v>2933.3857451329141</v>
      </c>
      <c r="O15" s="17">
        <v>12146.542629857191</v>
      </c>
      <c r="P15" s="17">
        <f>(ChiKCB_2021!S16/ChiKCB_2021!R16)*O15*95%</f>
        <v>1473.6299503161083</v>
      </c>
      <c r="Q15" s="9">
        <f t="shared" si="5"/>
        <v>13972.05546648159</v>
      </c>
      <c r="R15" s="9">
        <f t="shared" si="6"/>
        <v>4407.0156954490221</v>
      </c>
      <c r="S15" s="17">
        <f t="shared" si="7"/>
        <v>1881.3300366243996</v>
      </c>
      <c r="T15" s="17">
        <f t="shared" si="1"/>
        <v>3078.0174035584746</v>
      </c>
      <c r="U15" s="17">
        <f t="shared" si="8"/>
        <v>12743.724629857192</v>
      </c>
      <c r="V15" s="17">
        <f t="shared" si="2"/>
        <v>1590.4597152943843</v>
      </c>
      <c r="W15" s="9">
        <f t="shared" si="9"/>
        <v>14625.054666481592</v>
      </c>
      <c r="X15" s="9">
        <f t="shared" si="10"/>
        <v>4668.4771188528593</v>
      </c>
      <c r="AC15" s="101"/>
      <c r="AD15" s="101"/>
    </row>
    <row r="16" spans="1:30" ht="16" customHeight="1">
      <c r="A16" s="6">
        <v>9</v>
      </c>
      <c r="B16" s="7" t="s">
        <v>21</v>
      </c>
      <c r="C16" s="7">
        <v>52185</v>
      </c>
      <c r="D16" s="8">
        <f>ChiKCB_2021!P17*0.94%</f>
        <v>102.43179999999998</v>
      </c>
      <c r="E16" s="8">
        <f>(ChiKCB_2021!Q17/ChiKCB_2021!P17)*Giatang2022!D16</f>
        <v>164.56351626474714</v>
      </c>
      <c r="F16" s="8">
        <f>ChiKCB_2021!R17*0.94%</f>
        <v>951.81579999999985</v>
      </c>
      <c r="G16" s="8">
        <f>(ChiKCB_2021!S17/ChiKCB_2021!R17)*Giatang2022!F16</f>
        <v>164.76425239562485</v>
      </c>
      <c r="H16" s="9">
        <f t="shared" si="3"/>
        <v>1054.2475999999999</v>
      </c>
      <c r="I16" s="9">
        <f t="shared" si="4"/>
        <v>329.32776866037199</v>
      </c>
      <c r="J16" s="17">
        <f>ChiKCB_2021!Q17*0.5%</f>
        <v>87.533785247205941</v>
      </c>
      <c r="K16" s="17">
        <f>ChiKCB_2021!S17*0.5%</f>
        <v>87.640559784906856</v>
      </c>
      <c r="L16" s="9">
        <f t="shared" si="0"/>
        <v>175.1743450321128</v>
      </c>
      <c r="M16" s="17">
        <v>3270.6223986273603</v>
      </c>
      <c r="N16" s="17">
        <f>(ChiKCB_2021!Q17/ChiKCB_2021!P17)*M16*95%</f>
        <v>4991.7493022454164</v>
      </c>
      <c r="O16" s="17">
        <v>13430.1513093666</v>
      </c>
      <c r="P16" s="17">
        <f>(ChiKCB_2021!S17/ChiKCB_2021!R17)*O16*95%</f>
        <v>2208.5874158062038</v>
      </c>
      <c r="Q16" s="9">
        <f t="shared" si="5"/>
        <v>16700.773707993962</v>
      </c>
      <c r="R16" s="9">
        <f t="shared" si="6"/>
        <v>7200.3367180516198</v>
      </c>
      <c r="S16" s="17">
        <f t="shared" si="7"/>
        <v>3373.0541986273602</v>
      </c>
      <c r="T16" s="17">
        <f t="shared" si="1"/>
        <v>5243.8466037573698</v>
      </c>
      <c r="U16" s="17">
        <f t="shared" si="8"/>
        <v>14381.9671093666</v>
      </c>
      <c r="V16" s="17">
        <f t="shared" si="2"/>
        <v>2460.9922279867355</v>
      </c>
      <c r="W16" s="9">
        <f t="shared" si="9"/>
        <v>17755.02130799396</v>
      </c>
      <c r="X16" s="9">
        <f t="shared" si="10"/>
        <v>7704.8388317441058</v>
      </c>
      <c r="AC16" s="101"/>
      <c r="AD16" s="101"/>
    </row>
    <row r="17" spans="1:30" ht="16" customHeight="1">
      <c r="A17" s="6">
        <v>10</v>
      </c>
      <c r="B17" s="7" t="s">
        <v>22</v>
      </c>
      <c r="C17" s="7">
        <v>52012</v>
      </c>
      <c r="D17" s="8">
        <f>ChiKCB_2021!P18*0.94%</f>
        <v>20.971399999999996</v>
      </c>
      <c r="E17" s="8">
        <f>(ChiKCB_2021!Q18/ChiKCB_2021!P18)*Giatang2022!D17</f>
        <v>27.667115891421385</v>
      </c>
      <c r="F17" s="8">
        <f>ChiKCB_2021!R18*0.94%</f>
        <v>266.99759999999998</v>
      </c>
      <c r="G17" s="8">
        <f>(ChiKCB_2021!S18/ChiKCB_2021!R18)*Giatang2022!F17</f>
        <v>33.488877229365329</v>
      </c>
      <c r="H17" s="9">
        <f t="shared" si="3"/>
        <v>287.96899999999999</v>
      </c>
      <c r="I17" s="9">
        <f t="shared" si="4"/>
        <v>61.155993120786718</v>
      </c>
      <c r="J17" s="17">
        <f>ChiKCB_2021!Q18*0.5%</f>
        <v>14.716551006075209</v>
      </c>
      <c r="K17" s="17">
        <f>ChiKCB_2021!S18*0.5%</f>
        <v>17.813232568811344</v>
      </c>
      <c r="L17" s="9">
        <f t="shared" si="0"/>
        <v>32.529783574886551</v>
      </c>
      <c r="M17" s="17">
        <v>667.19006544779961</v>
      </c>
      <c r="N17" s="17">
        <f>(ChiKCB_2021!Q18/ChiKCB_2021!P18)*M17*95%</f>
        <v>836.19899573856924</v>
      </c>
      <c r="O17" s="17">
        <v>6297.4458904151979</v>
      </c>
      <c r="P17" s="17">
        <f>(ChiKCB_2021!S18/ChiKCB_2021!R18)*O17*95%</f>
        <v>750.38005086394594</v>
      </c>
      <c r="Q17" s="9">
        <f t="shared" si="5"/>
        <v>6964.6359558629974</v>
      </c>
      <c r="R17" s="9">
        <f t="shared" si="6"/>
        <v>1586.5790466025151</v>
      </c>
      <c r="S17" s="17">
        <f t="shared" si="7"/>
        <v>688.16146544779963</v>
      </c>
      <c r="T17" s="17">
        <f t="shared" si="1"/>
        <v>878.58266263606583</v>
      </c>
      <c r="U17" s="17">
        <f t="shared" si="8"/>
        <v>6564.4434904151976</v>
      </c>
      <c r="V17" s="17">
        <f t="shared" si="2"/>
        <v>801.68216066212267</v>
      </c>
      <c r="W17" s="9">
        <f t="shared" si="9"/>
        <v>7252.6049558629975</v>
      </c>
      <c r="X17" s="9">
        <f t="shared" si="10"/>
        <v>1680.2648232981885</v>
      </c>
      <c r="AC17" s="101"/>
      <c r="AD17" s="101"/>
    </row>
    <row r="18" spans="1:30" ht="16" customHeight="1">
      <c r="A18" s="6">
        <v>11</v>
      </c>
      <c r="B18" s="7" t="s">
        <v>23</v>
      </c>
      <c r="C18" s="7">
        <v>52011</v>
      </c>
      <c r="D18" s="8">
        <f>ChiKCB_2021!P19*0.94%</f>
        <v>54.040599999999991</v>
      </c>
      <c r="E18" s="8">
        <f>(ChiKCB_2021!Q19/ChiKCB_2021!P19)*Giatang2022!D18</f>
        <v>86.740942369009204</v>
      </c>
      <c r="F18" s="8">
        <f>ChiKCB_2021!R19*0.94%</f>
        <v>491.24399999999991</v>
      </c>
      <c r="G18" s="8">
        <f>(ChiKCB_2021!S19/ChiKCB_2021!R19)*Giatang2022!F18</f>
        <v>61.583174578888787</v>
      </c>
      <c r="H18" s="9">
        <f t="shared" si="3"/>
        <v>545.28459999999995</v>
      </c>
      <c r="I18" s="9">
        <f t="shared" si="4"/>
        <v>148.32411694789801</v>
      </c>
      <c r="J18" s="17">
        <f>ChiKCB_2021!Q19*0.5%</f>
        <v>46.138799132451716</v>
      </c>
      <c r="K18" s="17">
        <f>ChiKCB_2021!S19*0.5%</f>
        <v>32.757007754728086</v>
      </c>
      <c r="L18" s="9">
        <f t="shared" si="0"/>
        <v>78.895806887179802</v>
      </c>
      <c r="M18" s="17">
        <v>1116.9266527888701</v>
      </c>
      <c r="N18" s="17">
        <f>(ChiKCB_2021!Q19/ChiKCB_2021!P19)*M18*95%</f>
        <v>1703.1473910165926</v>
      </c>
      <c r="O18" s="17">
        <v>6024.583313466801</v>
      </c>
      <c r="P18" s="17">
        <f>(ChiKCB_2021!S19/ChiKCB_2021!R19)*O18*95%</f>
        <v>717.48930808390935</v>
      </c>
      <c r="Q18" s="9">
        <f t="shared" si="5"/>
        <v>7141.5099662556713</v>
      </c>
      <c r="R18" s="9">
        <f t="shared" si="6"/>
        <v>2420.636699100502</v>
      </c>
      <c r="S18" s="17">
        <f t="shared" si="7"/>
        <v>1170.9672527888702</v>
      </c>
      <c r="T18" s="17">
        <f t="shared" si="1"/>
        <v>1836.0271325180536</v>
      </c>
      <c r="U18" s="17">
        <f t="shared" si="8"/>
        <v>6515.8273134668007</v>
      </c>
      <c r="V18" s="17">
        <f t="shared" si="2"/>
        <v>811.82949041752624</v>
      </c>
      <c r="W18" s="9">
        <f t="shared" si="9"/>
        <v>7686.7945662556704</v>
      </c>
      <c r="X18" s="9">
        <f t="shared" si="10"/>
        <v>2647.8566229355797</v>
      </c>
      <c r="AC18" s="101"/>
      <c r="AD18" s="101"/>
    </row>
    <row r="19" spans="1:30" ht="16" customHeight="1">
      <c r="A19" s="6">
        <v>12</v>
      </c>
      <c r="B19" s="7" t="s">
        <v>24</v>
      </c>
      <c r="C19" s="7">
        <v>52008</v>
      </c>
      <c r="D19" s="8">
        <f>ChiKCB_2021!P20*0.94%</f>
        <v>30.747399999999995</v>
      </c>
      <c r="E19" s="8">
        <f>(ChiKCB_2021!Q20/ChiKCB_2021!P20)*Giatang2022!D19</f>
        <v>38.909569239507327</v>
      </c>
      <c r="F19" s="8">
        <f>ChiKCB_2021!R20*0.94%</f>
        <v>220.26079999999996</v>
      </c>
      <c r="G19" s="8">
        <f>(ChiKCB_2021!S20/ChiKCB_2021!R20)*Giatang2022!F19</f>
        <v>34.95815588359298</v>
      </c>
      <c r="H19" s="9">
        <f t="shared" si="3"/>
        <v>251.00819999999996</v>
      </c>
      <c r="I19" s="9">
        <f t="shared" si="4"/>
        <v>73.867725123100314</v>
      </c>
      <c r="J19" s="17">
        <f>ChiKCB_2021!Q20*0.5%</f>
        <v>20.696579382716667</v>
      </c>
      <c r="K19" s="17">
        <f>ChiKCB_2021!S20*0.5%</f>
        <v>18.59476376786861</v>
      </c>
      <c r="L19" s="9">
        <f t="shared" si="0"/>
        <v>39.291343150585277</v>
      </c>
      <c r="M19" s="17">
        <v>1488.3973298024578</v>
      </c>
      <c r="N19" s="17">
        <f>(ChiKCB_2021!Q20/ChiKCB_2021!P20)*M19*95%</f>
        <v>1789.3302852226279</v>
      </c>
      <c r="O19" s="17">
        <v>4278.9523271950802</v>
      </c>
      <c r="P19" s="17">
        <f>(ChiKCB_2021!S20/ChiKCB_2021!R20)*O19*95%</f>
        <v>645.16731233574535</v>
      </c>
      <c r="Q19" s="9">
        <f t="shared" si="5"/>
        <v>5767.3496569975377</v>
      </c>
      <c r="R19" s="9">
        <f t="shared" si="6"/>
        <v>2434.4975975583734</v>
      </c>
      <c r="S19" s="17">
        <f t="shared" si="7"/>
        <v>1519.1447298024577</v>
      </c>
      <c r="T19" s="17">
        <f t="shared" si="1"/>
        <v>1848.936433844852</v>
      </c>
      <c r="U19" s="17">
        <f t="shared" si="8"/>
        <v>4499.2131271950802</v>
      </c>
      <c r="V19" s="17">
        <f t="shared" si="2"/>
        <v>698.72023198720694</v>
      </c>
      <c r="W19" s="9">
        <f t="shared" si="9"/>
        <v>6018.357856997538</v>
      </c>
      <c r="X19" s="9">
        <f t="shared" si="10"/>
        <v>2547.6566658320589</v>
      </c>
      <c r="AC19" s="101"/>
      <c r="AD19" s="101"/>
    </row>
    <row r="20" spans="1:30" ht="16" customHeight="1">
      <c r="A20" s="6">
        <v>13</v>
      </c>
      <c r="B20" s="7" t="s">
        <v>25</v>
      </c>
      <c r="C20" s="7">
        <v>52017</v>
      </c>
      <c r="D20" s="8">
        <f>ChiKCB_2021!P21*0.94%</f>
        <v>242.58579999999998</v>
      </c>
      <c r="E20" s="8">
        <f>(ChiKCB_2021!Q21/ChiKCB_2021!P21)*Giatang2022!D20</f>
        <v>603.69770208912576</v>
      </c>
      <c r="F20" s="8">
        <f>ChiKCB_2021!R21*0.94%</f>
        <v>1173.0165999999999</v>
      </c>
      <c r="G20" s="8">
        <f>(ChiKCB_2021!S21/ChiKCB_2021!R21)*Giatang2022!F20</f>
        <v>199.22609720412964</v>
      </c>
      <c r="H20" s="9">
        <f t="shared" si="3"/>
        <v>1415.6024</v>
      </c>
      <c r="I20" s="9">
        <f t="shared" si="4"/>
        <v>802.92379929325534</v>
      </c>
      <c r="J20" s="17">
        <f>ChiKCB_2021!Q21*0.5%</f>
        <v>321.11579898357758</v>
      </c>
      <c r="K20" s="17">
        <f>ChiKCB_2021!S21*0.5%</f>
        <v>105.97132830006896</v>
      </c>
      <c r="L20" s="9">
        <f t="shared" si="0"/>
        <v>427.08712728364651</v>
      </c>
      <c r="M20" s="17">
        <v>7562.6255472336452</v>
      </c>
      <c r="N20" s="17">
        <f>(ChiKCB_2021!Q21/ChiKCB_2021!P21)*M20*95%</f>
        <v>17879.293352678498</v>
      </c>
      <c r="O20" s="17">
        <v>18539.922426842164</v>
      </c>
      <c r="P20" s="17">
        <f>(ChiKCB_2021!S21/ChiKCB_2021!R21)*O20*95%</f>
        <v>2991.3937860629817</v>
      </c>
      <c r="Q20" s="9">
        <f t="shared" si="5"/>
        <v>26102.547974075809</v>
      </c>
      <c r="R20" s="9">
        <f t="shared" si="6"/>
        <v>20870.687138741479</v>
      </c>
      <c r="S20" s="17">
        <f t="shared" si="7"/>
        <v>7805.211347233645</v>
      </c>
      <c r="T20" s="17">
        <f t="shared" si="1"/>
        <v>18804.1068537512</v>
      </c>
      <c r="U20" s="17">
        <f t="shared" si="8"/>
        <v>19712.939026842163</v>
      </c>
      <c r="V20" s="17">
        <f t="shared" si="2"/>
        <v>3296.5912115671804</v>
      </c>
      <c r="W20" s="9">
        <f t="shared" si="9"/>
        <v>27518.150374075809</v>
      </c>
      <c r="X20" s="9">
        <f t="shared" si="10"/>
        <v>22100.698065318382</v>
      </c>
      <c r="AC20" s="101"/>
      <c r="AD20" s="101"/>
    </row>
    <row r="21" spans="1:30" ht="16" customHeight="1">
      <c r="A21" s="6">
        <v>14</v>
      </c>
      <c r="B21" s="7" t="s">
        <v>26</v>
      </c>
      <c r="C21" s="7">
        <v>52004</v>
      </c>
      <c r="D21" s="8">
        <f>ChiKCB_2021!P22*0.94%</f>
        <v>17.446399999999997</v>
      </c>
      <c r="E21" s="8">
        <f>(ChiKCB_2021!Q22/ChiKCB_2021!P22)*Giatang2022!D21</f>
        <v>53.24955696239266</v>
      </c>
      <c r="F21" s="8">
        <f>ChiKCB_2021!R22*0.94%</f>
        <v>59.003799999999991</v>
      </c>
      <c r="G21" s="8">
        <f>(ChiKCB_2021!S22/ChiKCB_2021!R22)*Giatang2022!F21</f>
        <v>12.711923374365087</v>
      </c>
      <c r="H21" s="9">
        <f t="shared" si="3"/>
        <v>76.450199999999995</v>
      </c>
      <c r="I21" s="9">
        <f t="shared" si="4"/>
        <v>65.961480336757745</v>
      </c>
      <c r="J21" s="17">
        <f>ChiKCB_2021!Q22*0.5%</f>
        <v>28.32423242680461</v>
      </c>
      <c r="K21" s="17">
        <f>ChiKCB_2021!S22*0.5%</f>
        <v>6.7616613693431331</v>
      </c>
      <c r="L21" s="9">
        <f t="shared" si="0"/>
        <v>35.085893796147744</v>
      </c>
      <c r="M21" s="17">
        <v>1227.995600077576</v>
      </c>
      <c r="N21" s="17">
        <f>(ChiKCB_2021!Q22/ChiKCB_2021!P22)*M21</f>
        <v>3748.0638788459769</v>
      </c>
      <c r="O21" s="17">
        <v>5574.6032158425996</v>
      </c>
      <c r="P21" s="17">
        <f>(ChiKCB_2021!S22/ChiKCB_2021!R22)*O21</f>
        <v>1201.0061881146696</v>
      </c>
      <c r="Q21" s="9">
        <f t="shared" si="5"/>
        <v>6802.5988159201752</v>
      </c>
      <c r="R21" s="9">
        <f t="shared" si="6"/>
        <v>4949.0700669606467</v>
      </c>
      <c r="S21" s="17">
        <f t="shared" si="7"/>
        <v>1245.442000077576</v>
      </c>
      <c r="T21" s="17">
        <f t="shared" si="1"/>
        <v>3829.6376682351743</v>
      </c>
      <c r="U21" s="17">
        <f t="shared" si="8"/>
        <v>5633.6070158426</v>
      </c>
      <c r="V21" s="17">
        <f t="shared" si="2"/>
        <v>1220.4797728583778</v>
      </c>
      <c r="W21" s="9">
        <f t="shared" si="9"/>
        <v>6879.0490159201763</v>
      </c>
      <c r="X21" s="9">
        <f t="shared" si="10"/>
        <v>5050.1174410935519</v>
      </c>
      <c r="AC21" s="101"/>
      <c r="AD21" s="101"/>
    </row>
    <row r="22" spans="1:30" ht="16" customHeight="1">
      <c r="A22" s="6">
        <v>15</v>
      </c>
      <c r="B22" s="7" t="s">
        <v>27</v>
      </c>
      <c r="C22" s="7">
        <v>52016</v>
      </c>
      <c r="D22" s="8">
        <f>ChiKCB_2021!P23*0.94%</f>
        <v>23.509399999999996</v>
      </c>
      <c r="E22" s="8">
        <f>(ChiKCB_2021!Q23/ChiKCB_2021!P23)*Giatang2022!D22</f>
        <v>75.293401913254272</v>
      </c>
      <c r="F22" s="8">
        <f>ChiKCB_2021!R23*0.94%</f>
        <v>15.472399999999999</v>
      </c>
      <c r="G22" s="8">
        <f>(ChiKCB_2021!S23/ChiKCB_2021!R23)*Giatang2022!F22</f>
        <v>2.7460201373226036</v>
      </c>
      <c r="H22" s="9">
        <f t="shared" si="3"/>
        <v>38.981799999999993</v>
      </c>
      <c r="I22" s="9">
        <f t="shared" si="4"/>
        <v>78.039422050576874</v>
      </c>
      <c r="J22" s="17">
        <f>ChiKCB_2021!Q23*0.5%</f>
        <v>40.04968186875228</v>
      </c>
      <c r="K22" s="17">
        <f>ChiKCB_2021!S23*0.5%</f>
        <v>1.4606490092141511</v>
      </c>
      <c r="L22" s="9">
        <f t="shared" si="0"/>
        <v>41.510330877966432</v>
      </c>
      <c r="M22" s="17">
        <v>823.54836141062117</v>
      </c>
      <c r="N22" s="17">
        <f>(ChiKCB_2021!Q23/ChiKCB_2021!P23)*M22</f>
        <v>2637.5729610577851</v>
      </c>
      <c r="O22" s="17">
        <v>329.04380627479998</v>
      </c>
      <c r="P22" s="17">
        <f>(ChiKCB_2021!S23/ChiKCB_2021!R23)*O22</f>
        <v>58.398239322398496</v>
      </c>
      <c r="Q22" s="9">
        <f t="shared" si="5"/>
        <v>1152.5921676854211</v>
      </c>
      <c r="R22" s="9">
        <f t="shared" si="6"/>
        <v>2695.9712003801837</v>
      </c>
      <c r="S22" s="17">
        <f t="shared" si="7"/>
        <v>847.0577614106212</v>
      </c>
      <c r="T22" s="17">
        <f t="shared" si="1"/>
        <v>2752.9160448397915</v>
      </c>
      <c r="U22" s="17">
        <f t="shared" si="8"/>
        <v>344.51620627479997</v>
      </c>
      <c r="V22" s="17">
        <f t="shared" si="2"/>
        <v>62.60490846893525</v>
      </c>
      <c r="W22" s="9">
        <f t="shared" si="9"/>
        <v>1191.5739676854212</v>
      </c>
      <c r="X22" s="9">
        <f t="shared" si="10"/>
        <v>2815.5209533087268</v>
      </c>
      <c r="AC22" s="101"/>
      <c r="AD22" s="101"/>
    </row>
    <row r="23" spans="1:30" ht="16" customHeight="1">
      <c r="A23" s="6">
        <v>16</v>
      </c>
      <c r="B23" s="7" t="s">
        <v>28</v>
      </c>
      <c r="C23" s="7">
        <v>52184</v>
      </c>
      <c r="D23" s="8">
        <f>ChiKCB_2021!P24*0.94%</f>
        <v>35.682399999999994</v>
      </c>
      <c r="E23" s="8">
        <f>(ChiKCB_2021!Q24/ChiKCB_2021!P24)*Giatang2022!D23</f>
        <v>162.84031762325952</v>
      </c>
      <c r="F23" s="8">
        <f>ChiKCB_2021!R24*0.94%</f>
        <v>35.889199999999995</v>
      </c>
      <c r="G23" s="8">
        <f>(ChiKCB_2021!S24/ChiKCB_2021!R24)*Giatang2022!F23</f>
        <v>15.079120785636038</v>
      </c>
      <c r="H23" s="9">
        <f t="shared" si="3"/>
        <v>71.571599999999989</v>
      </c>
      <c r="I23" s="9">
        <f t="shared" si="4"/>
        <v>177.91943840889556</v>
      </c>
      <c r="J23" s="17">
        <f>ChiKCB_2021!Q24*0.5%</f>
        <v>86.61719022513806</v>
      </c>
      <c r="K23" s="17">
        <f>ChiKCB_2021!S24*0.5%</f>
        <v>8.0208089285298083</v>
      </c>
      <c r="L23" s="9">
        <f t="shared" si="0"/>
        <v>94.637999153667863</v>
      </c>
      <c r="M23" s="17">
        <v>1329.8210481573162</v>
      </c>
      <c r="N23" s="17">
        <f>(ChiKCB_2021!Q24/ChiKCB_2021!P24)*M23</f>
        <v>6068.7756951335477</v>
      </c>
      <c r="O23" s="17">
        <v>430.21382736632</v>
      </c>
      <c r="P23" s="17">
        <f>(ChiKCB_2021!S24/ChiKCB_2021!R24)*O23</f>
        <v>180.75761695739973</v>
      </c>
      <c r="Q23" s="9">
        <f t="shared" si="5"/>
        <v>1760.0348755236362</v>
      </c>
      <c r="R23" s="9">
        <f t="shared" si="6"/>
        <v>6249.5333120909472</v>
      </c>
      <c r="S23" s="17">
        <f t="shared" si="7"/>
        <v>1365.5034481573161</v>
      </c>
      <c r="T23" s="17">
        <f t="shared" si="1"/>
        <v>6318.2332029819454</v>
      </c>
      <c r="U23" s="17">
        <f t="shared" si="8"/>
        <v>466.10302736632002</v>
      </c>
      <c r="V23" s="17">
        <f t="shared" si="2"/>
        <v>203.85754667156559</v>
      </c>
      <c r="W23" s="9">
        <f t="shared" si="9"/>
        <v>1831.6064755236362</v>
      </c>
      <c r="X23" s="9">
        <f t="shared" si="10"/>
        <v>6522.090749653511</v>
      </c>
      <c r="AC23" s="101"/>
      <c r="AD23" s="101"/>
    </row>
    <row r="24" spans="1:30" ht="16" customHeight="1">
      <c r="A24" s="6">
        <v>17</v>
      </c>
      <c r="B24" s="7" t="s">
        <v>29</v>
      </c>
      <c r="C24" s="7">
        <v>52020</v>
      </c>
      <c r="D24" s="8">
        <f>ChiKCB_2021!P25*0.94%</f>
        <v>19.909199999999998</v>
      </c>
      <c r="E24" s="8">
        <f>(ChiKCB_2021!Q25/ChiKCB_2021!P25)*Giatang2022!D24</f>
        <v>70.199030682553527</v>
      </c>
      <c r="F24" s="8">
        <f>ChiKCB_2021!R25*0.94%</f>
        <v>159.96919999999997</v>
      </c>
      <c r="G24" s="8">
        <f>(ChiKCB_2021!S25/ChiKCB_2021!R25)*Giatang2022!F24</f>
        <v>48.163109602211271</v>
      </c>
      <c r="H24" s="9">
        <f t="shared" si="3"/>
        <v>179.87839999999997</v>
      </c>
      <c r="I24" s="9">
        <f t="shared" si="4"/>
        <v>118.36214028476479</v>
      </c>
      <c r="J24" s="17">
        <f>ChiKCB_2021!Q25*0.5%</f>
        <v>37.339909937528475</v>
      </c>
      <c r="K24" s="17">
        <f>ChiKCB_2021!S25*0.5%</f>
        <v>25.618675320325146</v>
      </c>
      <c r="L24" s="9">
        <f t="shared" si="0"/>
        <v>62.95858525785362</v>
      </c>
      <c r="M24" s="17">
        <v>122.00720359413998</v>
      </c>
      <c r="N24" s="17">
        <f>(ChiKCB_2021!Q25/ChiKCB_2021!P25)*M24</f>
        <v>430.19244513077308</v>
      </c>
      <c r="O24" s="17">
        <v>2757.2132433284009</v>
      </c>
      <c r="P24" s="17">
        <f>(ChiKCB_2021!S25/ChiKCB_2021!R25)*O24</f>
        <v>830.13457362476152</v>
      </c>
      <c r="Q24" s="9">
        <f t="shared" si="5"/>
        <v>2879.2204469225408</v>
      </c>
      <c r="R24" s="9">
        <f t="shared" si="6"/>
        <v>1260.3270187555345</v>
      </c>
      <c r="S24" s="17">
        <f t="shared" si="7"/>
        <v>141.91640359413998</v>
      </c>
      <c r="T24" s="17">
        <f t="shared" si="1"/>
        <v>537.73138575085511</v>
      </c>
      <c r="U24" s="17">
        <f t="shared" si="8"/>
        <v>2917.182443328401</v>
      </c>
      <c r="V24" s="17">
        <f t="shared" si="2"/>
        <v>903.91635854729793</v>
      </c>
      <c r="W24" s="9">
        <f t="shared" si="9"/>
        <v>3059.0988469225408</v>
      </c>
      <c r="X24" s="9">
        <f t="shared" si="10"/>
        <v>1441.6477442981532</v>
      </c>
      <c r="AC24" s="101"/>
      <c r="AD24" s="101"/>
    </row>
    <row r="25" spans="1:30" ht="16" customHeight="1">
      <c r="A25" s="6">
        <v>18</v>
      </c>
      <c r="B25" s="7" t="s">
        <v>30</v>
      </c>
      <c r="C25" s="7">
        <v>52005</v>
      </c>
      <c r="D25" s="8">
        <f>ChiKCB_2021!P26*0.94%</f>
        <v>25.793599999999998</v>
      </c>
      <c r="E25" s="8">
        <f>(ChiKCB_2021!Q26/ChiKCB_2021!P26)*Giatang2022!D25</f>
        <v>110.06702892926502</v>
      </c>
      <c r="F25" s="8">
        <f>ChiKCB_2021!R26*0.94%</f>
        <v>27.090799999999994</v>
      </c>
      <c r="G25" s="8">
        <f>(ChiKCB_2021!S26/ChiKCB_2021!R26)*Giatang2022!F25</f>
        <v>10.132034949377976</v>
      </c>
      <c r="H25" s="9">
        <f t="shared" si="3"/>
        <v>52.884399999999992</v>
      </c>
      <c r="I25" s="9">
        <f t="shared" si="4"/>
        <v>120.199063878643</v>
      </c>
      <c r="J25" s="17">
        <f>ChiKCB_2021!Q26*0.5%</f>
        <v>58.546291983651606</v>
      </c>
      <c r="K25" s="17">
        <f>ChiKCB_2021!S26*0.5%</f>
        <v>5.3893802922223291</v>
      </c>
      <c r="L25" s="9">
        <f t="shared" si="0"/>
        <v>63.935672275873934</v>
      </c>
      <c r="M25" s="17">
        <v>368.34176062402389</v>
      </c>
      <c r="N25" s="17">
        <f>(ChiKCB_2021!Q26/ChiKCB_2021!P26)*M25</f>
        <v>1571.7962293925957</v>
      </c>
      <c r="O25" s="17">
        <v>537.06567596588002</v>
      </c>
      <c r="P25" s="17">
        <f>(ChiKCB_2021!S26/ChiKCB_2021!R26)*O25</f>
        <v>200.86406451627877</v>
      </c>
      <c r="Q25" s="9">
        <f t="shared" si="5"/>
        <v>905.40743658990391</v>
      </c>
      <c r="R25" s="9">
        <f t="shared" si="6"/>
        <v>1772.6602939088746</v>
      </c>
      <c r="S25" s="17">
        <f t="shared" si="7"/>
        <v>394.13536062402386</v>
      </c>
      <c r="T25" s="17">
        <f t="shared" si="1"/>
        <v>1740.4095503055123</v>
      </c>
      <c r="U25" s="17">
        <f t="shared" si="8"/>
        <v>564.15647596587996</v>
      </c>
      <c r="V25" s="17">
        <f t="shared" si="2"/>
        <v>216.38547975787907</v>
      </c>
      <c r="W25" s="9">
        <f t="shared" si="9"/>
        <v>958.29183658990382</v>
      </c>
      <c r="X25" s="9">
        <f t="shared" si="10"/>
        <v>1956.7950300633913</v>
      </c>
      <c r="AC25" s="101"/>
      <c r="AD25" s="101"/>
    </row>
    <row r="26" spans="1:30" ht="16" customHeight="1">
      <c r="A26" s="6">
        <v>19</v>
      </c>
      <c r="B26" s="7" t="s">
        <v>31</v>
      </c>
      <c r="C26" s="7">
        <v>52021</v>
      </c>
      <c r="D26" s="8">
        <f>ChiKCB_2021!P27*0.94%</f>
        <v>82.061999999999983</v>
      </c>
      <c r="E26" s="8">
        <f>(ChiKCB_2021!Q27/ChiKCB_2021!P27)*Giatang2022!D26</f>
        <v>314.53941814873127</v>
      </c>
      <c r="F26" s="8">
        <f>ChiKCB_2021!R27*0.94%</f>
        <v>128.24419999999998</v>
      </c>
      <c r="G26" s="8">
        <f>(ChiKCB_2021!S27/ChiKCB_2021!R27)*Giatang2022!F26</f>
        <v>26.344909421513563</v>
      </c>
      <c r="H26" s="9">
        <f t="shared" si="3"/>
        <v>210.30619999999996</v>
      </c>
      <c r="I26" s="9">
        <f t="shared" si="4"/>
        <v>340.88432757024486</v>
      </c>
      <c r="J26" s="17">
        <f>ChiKCB_2021!Q27*0.5%</f>
        <v>167.30820114294221</v>
      </c>
      <c r="K26" s="17">
        <f>ChiKCB_2021!S27*0.5%</f>
        <v>14.013249692294451</v>
      </c>
      <c r="L26" s="9">
        <f t="shared" si="0"/>
        <v>181.32145083523665</v>
      </c>
      <c r="M26" s="17">
        <v>2167.4710046378027</v>
      </c>
      <c r="N26" s="17">
        <f>(ChiKCB_2021!Q27/ChiKCB_2021!P27)*M26</f>
        <v>8307.8046922207668</v>
      </c>
      <c r="O26" s="17">
        <v>3676.5681414029204</v>
      </c>
      <c r="P26" s="17">
        <f>(ChiKCB_2021!S27/ChiKCB_2021!R27)*O26</f>
        <v>755.26889065768614</v>
      </c>
      <c r="Q26" s="9">
        <f t="shared" si="5"/>
        <v>5844.0391460407227</v>
      </c>
      <c r="R26" s="9">
        <f t="shared" si="6"/>
        <v>9063.0735828784527</v>
      </c>
      <c r="S26" s="17">
        <f t="shared" si="7"/>
        <v>2249.5330046378026</v>
      </c>
      <c r="T26" s="17">
        <f t="shared" si="1"/>
        <v>8789.6523115124401</v>
      </c>
      <c r="U26" s="17">
        <f t="shared" si="8"/>
        <v>3804.8123414029205</v>
      </c>
      <c r="V26" s="17">
        <f t="shared" si="2"/>
        <v>795.62704977149417</v>
      </c>
      <c r="W26" s="9">
        <f t="shared" si="9"/>
        <v>6054.3453460407236</v>
      </c>
      <c r="X26" s="9">
        <f t="shared" si="10"/>
        <v>9585.2793612839341</v>
      </c>
      <c r="AC26" s="101"/>
      <c r="AD26" s="101"/>
    </row>
    <row r="27" spans="1:30" ht="16" customHeight="1">
      <c r="A27" s="6">
        <v>20</v>
      </c>
      <c r="B27" s="7" t="s">
        <v>32</v>
      </c>
      <c r="C27" s="7">
        <v>52010</v>
      </c>
      <c r="D27" s="8">
        <f>ChiKCB_2021!P28*0.94%</f>
        <v>67.632999999999996</v>
      </c>
      <c r="E27" s="8">
        <f>(ChiKCB_2021!Q28/ChiKCB_2021!P28)*Giatang2022!D27</f>
        <v>261.56616640257818</v>
      </c>
      <c r="F27" s="8">
        <f>ChiKCB_2021!R28*0.94%</f>
        <v>206.60259999999997</v>
      </c>
      <c r="G27" s="8">
        <f>(ChiKCB_2021!S28/ChiKCB_2021!R28)*Giatang2022!F27</f>
        <v>56.617296375350826</v>
      </c>
      <c r="H27" s="9">
        <f t="shared" si="3"/>
        <v>274.23559999999998</v>
      </c>
      <c r="I27" s="9">
        <f t="shared" si="4"/>
        <v>318.18346277792898</v>
      </c>
      <c r="J27" s="17">
        <f>ChiKCB_2021!Q28*0.5%</f>
        <v>139.13093957583948</v>
      </c>
      <c r="K27" s="17">
        <f>ChiKCB_2021!S28*0.5%</f>
        <v>30.115583178378103</v>
      </c>
      <c r="L27" s="9">
        <f t="shared" si="0"/>
        <v>169.24652275421758</v>
      </c>
      <c r="M27" s="17">
        <v>4891.3495579910004</v>
      </c>
      <c r="N27" s="17">
        <f>(ChiKCB_2021!Q28/ChiKCB_2021!P28)*M27</f>
        <v>18916.971780323976</v>
      </c>
      <c r="O27" s="17">
        <v>22691.238822250194</v>
      </c>
      <c r="P27" s="17">
        <f>(ChiKCB_2021!S28/ChiKCB_2021!R28)*O27</f>
        <v>6218.2982862907147</v>
      </c>
      <c r="Q27" s="9">
        <f t="shared" si="5"/>
        <v>27582.588380241195</v>
      </c>
      <c r="R27" s="9">
        <f t="shared" si="6"/>
        <v>25135.270066614692</v>
      </c>
      <c r="S27" s="17">
        <f t="shared" si="7"/>
        <v>4958.9825579910002</v>
      </c>
      <c r="T27" s="17">
        <f t="shared" si="1"/>
        <v>19317.668886302396</v>
      </c>
      <c r="U27" s="17">
        <f t="shared" si="8"/>
        <v>22897.841422250192</v>
      </c>
      <c r="V27" s="17">
        <f t="shared" si="2"/>
        <v>6305.0311658444434</v>
      </c>
      <c r="W27" s="9">
        <f t="shared" si="9"/>
        <v>27856.823980241192</v>
      </c>
      <c r="X27" s="9">
        <f t="shared" si="10"/>
        <v>25622.70005214684</v>
      </c>
      <c r="AC27" s="101"/>
      <c r="AD27" s="101"/>
    </row>
    <row r="28" spans="1:30" ht="16" customHeight="1">
      <c r="A28" s="6">
        <v>21</v>
      </c>
      <c r="B28" s="7" t="s">
        <v>33</v>
      </c>
      <c r="C28" s="7">
        <v>52019</v>
      </c>
      <c r="D28" s="8">
        <f>ChiKCB_2021!P29*0.94%</f>
        <v>28.425599999999996</v>
      </c>
      <c r="E28" s="8">
        <f>(ChiKCB_2021!Q29/ChiKCB_2021!P29)*Giatang2022!D28</f>
        <v>81.229528518999061</v>
      </c>
      <c r="F28" s="8">
        <f>ChiKCB_2021!R29*0.94%</f>
        <v>650.01939999999991</v>
      </c>
      <c r="G28" s="8">
        <f>(ChiKCB_2021!S29/ChiKCB_2021!R29)*Giatang2022!F28</f>
        <v>126.22797544524852</v>
      </c>
      <c r="H28" s="9">
        <f t="shared" si="3"/>
        <v>678.44499999999994</v>
      </c>
      <c r="I28" s="9">
        <f t="shared" si="4"/>
        <v>207.45750396424756</v>
      </c>
      <c r="J28" s="17">
        <f>ChiKCB_2021!Q29*0.5%</f>
        <v>43.207196020744185</v>
      </c>
      <c r="K28" s="17">
        <f>ChiKCB_2021!S29*0.5%</f>
        <v>67.142540130451351</v>
      </c>
      <c r="L28" s="9">
        <f t="shared" si="0"/>
        <v>110.34973615119554</v>
      </c>
      <c r="M28" s="17">
        <v>846.57211037119976</v>
      </c>
      <c r="N28" s="17">
        <f>(ChiKCB_2021!Q29/ChiKCB_2021!P29)*M28</f>
        <v>2419.180364980391</v>
      </c>
      <c r="O28" s="17">
        <v>5844.9165875812359</v>
      </c>
      <c r="P28" s="17">
        <f>(ChiKCB_2021!S29/ChiKCB_2021!R29)*O28</f>
        <v>1135.0307198473308</v>
      </c>
      <c r="Q28" s="9">
        <f t="shared" si="5"/>
        <v>6691.4886979524354</v>
      </c>
      <c r="R28" s="9">
        <f t="shared" si="6"/>
        <v>3554.2110848277216</v>
      </c>
      <c r="S28" s="17">
        <f t="shared" si="7"/>
        <v>874.99771037119979</v>
      </c>
      <c r="T28" s="17">
        <f t="shared" si="1"/>
        <v>2543.6170895201344</v>
      </c>
      <c r="U28" s="17">
        <f t="shared" si="8"/>
        <v>6494.9359875812361</v>
      </c>
      <c r="V28" s="17">
        <f t="shared" si="2"/>
        <v>1328.4012354230308</v>
      </c>
      <c r="W28" s="9">
        <f t="shared" si="9"/>
        <v>7369.933697952436</v>
      </c>
      <c r="X28" s="9">
        <f t="shared" si="10"/>
        <v>3872.0183249431652</v>
      </c>
      <c r="AC28" s="101"/>
      <c r="AD28" s="101"/>
    </row>
    <row r="29" spans="1:30" ht="16" customHeight="1">
      <c r="A29" s="6">
        <v>22</v>
      </c>
      <c r="B29" s="7" t="s">
        <v>34</v>
      </c>
      <c r="C29" s="7">
        <v>52024</v>
      </c>
      <c r="D29" s="8">
        <f>ChiKCB_2021!P30*0.94%</f>
        <v>0</v>
      </c>
      <c r="E29" s="8"/>
      <c r="F29" s="8">
        <f>ChiKCB_2021!R30*0.94%</f>
        <v>82.597799999999992</v>
      </c>
      <c r="G29" s="8">
        <f>(ChiKCB_2021!S30/ChiKCB_2021!R30)*Giatang2022!F29</f>
        <v>12.170708424965106</v>
      </c>
      <c r="H29" s="9">
        <f t="shared" si="3"/>
        <v>82.597799999999992</v>
      </c>
      <c r="I29" s="9">
        <f t="shared" si="4"/>
        <v>12.170708424965106</v>
      </c>
      <c r="J29" s="17">
        <f>ChiKCB_2021!Q30*0.5%</f>
        <v>0</v>
      </c>
      <c r="K29" s="17">
        <f>ChiKCB_2021!S30*0.5%</f>
        <v>6.4737810771090993</v>
      </c>
      <c r="L29" s="9">
        <f t="shared" si="0"/>
        <v>6.4737810771090993</v>
      </c>
      <c r="M29" s="17">
        <v>0</v>
      </c>
      <c r="N29" s="17"/>
      <c r="O29" s="17">
        <v>2531.2093060805992</v>
      </c>
      <c r="P29" s="17">
        <f>(ChiKCB_2021!S30/ChiKCB_2021!R30)*O29</f>
        <v>372.97131917393966</v>
      </c>
      <c r="Q29" s="9">
        <f t="shared" si="5"/>
        <v>2531.2093060805992</v>
      </c>
      <c r="R29" s="9">
        <f t="shared" si="6"/>
        <v>372.97131917393966</v>
      </c>
      <c r="S29" s="17">
        <f t="shared" si="7"/>
        <v>0</v>
      </c>
      <c r="T29" s="17">
        <f t="shared" si="1"/>
        <v>0</v>
      </c>
      <c r="U29" s="17">
        <f t="shared" si="8"/>
        <v>2613.8071060805992</v>
      </c>
      <c r="V29" s="17">
        <f t="shared" si="2"/>
        <v>391.61580867601384</v>
      </c>
      <c r="W29" s="9">
        <f t="shared" si="9"/>
        <v>2613.8071060805992</v>
      </c>
      <c r="X29" s="9">
        <f t="shared" si="10"/>
        <v>391.61580867601384</v>
      </c>
      <c r="AC29" s="101"/>
      <c r="AD29" s="101"/>
    </row>
    <row r="30" spans="1:30" ht="16" customHeight="1">
      <c r="A30" s="6">
        <v>23</v>
      </c>
      <c r="B30" s="7" t="s">
        <v>35</v>
      </c>
      <c r="C30" s="7">
        <v>52187</v>
      </c>
      <c r="D30" s="8">
        <f>ChiKCB_2021!P31*0.94%</f>
        <v>0</v>
      </c>
      <c r="E30" s="8"/>
      <c r="F30" s="8">
        <f>ChiKCB_2021!R31*0.94%</f>
        <v>1046.8685999999998</v>
      </c>
      <c r="G30" s="8">
        <f>(ChiKCB_2021!S31/ChiKCB_2021!R31)*Giatang2022!F30</f>
        <v>115.72251698420193</v>
      </c>
      <c r="H30" s="9">
        <f t="shared" si="3"/>
        <v>1046.8685999999998</v>
      </c>
      <c r="I30" s="9">
        <f t="shared" si="4"/>
        <v>115.72251698420193</v>
      </c>
      <c r="J30" s="17">
        <f>ChiKCB_2021!Q31*0.5%</f>
        <v>0</v>
      </c>
      <c r="K30" s="17">
        <f>ChiKCB_2021!S31*0.5%</f>
        <v>61.554530310745726</v>
      </c>
      <c r="L30" s="9">
        <f t="shared" si="0"/>
        <v>61.554530310745726</v>
      </c>
      <c r="M30" s="17">
        <v>0</v>
      </c>
      <c r="N30" s="17"/>
      <c r="O30" s="17">
        <v>26777.0330722322</v>
      </c>
      <c r="P30" s="17">
        <f>(ChiKCB_2021!S31/ChiKCB_2021!R31)*O30</f>
        <v>2959.9757452730246</v>
      </c>
      <c r="Q30" s="9">
        <f t="shared" si="5"/>
        <v>26777.0330722322</v>
      </c>
      <c r="R30" s="9">
        <f t="shared" si="6"/>
        <v>2959.9757452730246</v>
      </c>
      <c r="S30" s="17">
        <f t="shared" si="7"/>
        <v>0</v>
      </c>
      <c r="T30" s="17">
        <f t="shared" si="1"/>
        <v>0</v>
      </c>
      <c r="U30" s="17">
        <f t="shared" si="8"/>
        <v>27823.901672232198</v>
      </c>
      <c r="V30" s="17">
        <f t="shared" si="2"/>
        <v>3137.2527925679724</v>
      </c>
      <c r="W30" s="9">
        <f t="shared" si="9"/>
        <v>27823.901672232198</v>
      </c>
      <c r="X30" s="9">
        <f t="shared" si="10"/>
        <v>3137.2527925679724</v>
      </c>
      <c r="AC30" s="101"/>
      <c r="AD30" s="101"/>
    </row>
    <row r="31" spans="1:30" ht="16" customHeight="1">
      <c r="A31" s="6">
        <v>24</v>
      </c>
      <c r="B31" s="7" t="s">
        <v>36</v>
      </c>
      <c r="C31" s="7">
        <v>52186</v>
      </c>
      <c r="D31" s="8">
        <f>ChiKCB_2021!P32*0.94%</f>
        <v>0</v>
      </c>
      <c r="E31" s="8"/>
      <c r="F31" s="8">
        <f>ChiKCB_2021!R32*0.94%</f>
        <v>707.59439999999995</v>
      </c>
      <c r="G31" s="8">
        <f>(ChiKCB_2021!S32/ChiKCB_2021!R32)*Giatang2022!F31</f>
        <v>77.044896291031023</v>
      </c>
      <c r="H31" s="9">
        <f t="shared" si="3"/>
        <v>707.59439999999995</v>
      </c>
      <c r="I31" s="9">
        <f t="shared" si="4"/>
        <v>77.044896291031023</v>
      </c>
      <c r="J31" s="17">
        <f>ChiKCB_2021!Q32*0.5%</f>
        <v>0</v>
      </c>
      <c r="K31" s="17">
        <f>ChiKCB_2021!S32*0.5%</f>
        <v>40.981327814378211</v>
      </c>
      <c r="L31" s="9">
        <f t="shared" si="0"/>
        <v>40.981327814378211</v>
      </c>
      <c r="M31" s="17">
        <v>0</v>
      </c>
      <c r="N31" s="17"/>
      <c r="O31" s="17">
        <v>11871.507891168803</v>
      </c>
      <c r="P31" s="17">
        <f>(ChiKCB_2021!S32/ChiKCB_2021!R32)*O31</f>
        <v>1292.6036360565558</v>
      </c>
      <c r="Q31" s="9">
        <f t="shared" si="5"/>
        <v>11871.507891168803</v>
      </c>
      <c r="R31" s="9">
        <f t="shared" si="6"/>
        <v>1292.6036360565558</v>
      </c>
      <c r="S31" s="17">
        <f t="shared" si="7"/>
        <v>0</v>
      </c>
      <c r="T31" s="17">
        <f t="shared" si="1"/>
        <v>0</v>
      </c>
      <c r="U31" s="17">
        <f t="shared" si="8"/>
        <v>12579.102291168803</v>
      </c>
      <c r="V31" s="17">
        <f t="shared" si="2"/>
        <v>1410.6298601619651</v>
      </c>
      <c r="W31" s="9">
        <f t="shared" si="9"/>
        <v>12579.102291168803</v>
      </c>
      <c r="X31" s="9">
        <f t="shared" si="10"/>
        <v>1410.6298601619651</v>
      </c>
      <c r="AC31" s="101"/>
      <c r="AD31" s="101"/>
    </row>
    <row r="32" spans="1:30" ht="16" customHeight="1">
      <c r="A32" s="6">
        <v>25</v>
      </c>
      <c r="B32" s="7" t="s">
        <v>37</v>
      </c>
      <c r="C32" s="7">
        <v>52196</v>
      </c>
      <c r="D32" s="8">
        <f>ChiKCB_2021!P33*0.94%</f>
        <v>0</v>
      </c>
      <c r="E32" s="8"/>
      <c r="F32" s="8">
        <f>ChiKCB_2021!R33*0.94%</f>
        <v>1463.0347999999997</v>
      </c>
      <c r="G32" s="8">
        <f>(ChiKCB_2021!S33/ChiKCB_2021!R33)*Giatang2022!F32</f>
        <v>177.5601039052205</v>
      </c>
      <c r="H32" s="9">
        <f t="shared" si="3"/>
        <v>1463.0347999999997</v>
      </c>
      <c r="I32" s="9">
        <f t="shared" si="4"/>
        <v>177.5601039052205</v>
      </c>
      <c r="J32" s="17">
        <f>ChiKCB_2021!Q33*0.5%</f>
        <v>0</v>
      </c>
      <c r="K32" s="17">
        <f>ChiKCB_2021!S33*0.5%</f>
        <v>94.446863779372634</v>
      </c>
      <c r="L32" s="9">
        <f t="shared" si="0"/>
        <v>94.446863779372634</v>
      </c>
      <c r="M32" s="17">
        <v>0</v>
      </c>
      <c r="N32" s="17"/>
      <c r="O32" s="17">
        <v>33486.974448447087</v>
      </c>
      <c r="P32" s="17">
        <f>(ChiKCB_2021!S33/ChiKCB_2021!R33)*O32</f>
        <v>4064.1211422569922</v>
      </c>
      <c r="Q32" s="9">
        <f t="shared" si="5"/>
        <v>33486.974448447087</v>
      </c>
      <c r="R32" s="9">
        <f t="shared" si="6"/>
        <v>4064.1211422569922</v>
      </c>
      <c r="S32" s="17">
        <f t="shared" si="7"/>
        <v>0</v>
      </c>
      <c r="T32" s="17">
        <f t="shared" si="1"/>
        <v>0</v>
      </c>
      <c r="U32" s="17">
        <f t="shared" si="8"/>
        <v>34950.009248447088</v>
      </c>
      <c r="V32" s="17">
        <f t="shared" si="2"/>
        <v>4336.1281099415855</v>
      </c>
      <c r="W32" s="9">
        <f t="shared" si="9"/>
        <v>34950.009248447088</v>
      </c>
      <c r="X32" s="9">
        <f t="shared" si="10"/>
        <v>4336.1281099415855</v>
      </c>
      <c r="AC32" s="101"/>
      <c r="AD32" s="101"/>
    </row>
    <row r="33" spans="1:30" ht="16" customHeight="1">
      <c r="A33" s="6">
        <v>26</v>
      </c>
      <c r="B33" s="7" t="s">
        <v>38</v>
      </c>
      <c r="C33" s="7">
        <v>52200</v>
      </c>
      <c r="D33" s="8">
        <f>ChiKCB_2021!P34*0.94%</f>
        <v>0</v>
      </c>
      <c r="E33" s="8"/>
      <c r="F33" s="8">
        <f>ChiKCB_2021!R34*0.94%</f>
        <v>208.07839999999996</v>
      </c>
      <c r="G33" s="8">
        <f>(ChiKCB_2021!S34/ChiKCB_2021!R34)*Giatang2022!F33</f>
        <v>27.002781251221659</v>
      </c>
      <c r="H33" s="9">
        <f t="shared" si="3"/>
        <v>208.07839999999996</v>
      </c>
      <c r="I33" s="9">
        <f t="shared" si="4"/>
        <v>27.002781251221659</v>
      </c>
      <c r="J33" s="17">
        <f>ChiKCB_2021!Q34*0.5%</f>
        <v>0</v>
      </c>
      <c r="K33" s="17">
        <f>ChiKCB_2021!S34*0.5%</f>
        <v>14.36318151660727</v>
      </c>
      <c r="L33" s="9">
        <f t="shared" si="0"/>
        <v>14.36318151660727</v>
      </c>
      <c r="M33" s="17">
        <v>0</v>
      </c>
      <c r="N33" s="17"/>
      <c r="O33" s="17">
        <v>1998.6823164368</v>
      </c>
      <c r="P33" s="17">
        <f>(ChiKCB_2021!S34/ChiKCB_2021!R34)*O33</f>
        <v>259.37330055127256</v>
      </c>
      <c r="Q33" s="9">
        <f t="shared" si="5"/>
        <v>1998.6823164368</v>
      </c>
      <c r="R33" s="9">
        <f t="shared" si="6"/>
        <v>259.37330055127256</v>
      </c>
      <c r="S33" s="17">
        <f t="shared" si="7"/>
        <v>0</v>
      </c>
      <c r="T33" s="17">
        <f t="shared" si="1"/>
        <v>0</v>
      </c>
      <c r="U33" s="17">
        <f t="shared" si="8"/>
        <v>2206.7607164368001</v>
      </c>
      <c r="V33" s="17">
        <f t="shared" si="2"/>
        <v>300.7392633191015</v>
      </c>
      <c r="W33" s="9">
        <f t="shared" si="9"/>
        <v>2206.7607164368001</v>
      </c>
      <c r="X33" s="9">
        <f t="shared" si="10"/>
        <v>300.7392633191015</v>
      </c>
      <c r="AC33" s="101"/>
      <c r="AD33" s="101"/>
    </row>
    <row r="34" spans="1:30" ht="16" customHeight="1">
      <c r="A34" s="6">
        <v>27</v>
      </c>
      <c r="B34" s="7" t="s">
        <v>39</v>
      </c>
      <c r="C34" s="7">
        <v>52199</v>
      </c>
      <c r="D34" s="8">
        <f>ChiKCB_2021!P35*0.94%</f>
        <v>0</v>
      </c>
      <c r="E34" s="8"/>
      <c r="F34" s="8">
        <f>ChiKCB_2021!R35*0.94%</f>
        <v>136.83579999999998</v>
      </c>
      <c r="G34" s="8">
        <f>(ChiKCB_2021!S35/ChiKCB_2021!R35)*Giatang2022!F34</f>
        <v>16.787924580003256</v>
      </c>
      <c r="H34" s="9">
        <f t="shared" si="3"/>
        <v>136.83579999999998</v>
      </c>
      <c r="I34" s="9">
        <f t="shared" si="4"/>
        <v>16.787924580003256</v>
      </c>
      <c r="J34" s="17">
        <f>ChiKCB_2021!Q35*0.5%</f>
        <v>0</v>
      </c>
      <c r="K34" s="17">
        <f>ChiKCB_2021!S35*0.5%</f>
        <v>8.9297471170230107</v>
      </c>
      <c r="L34" s="9">
        <f t="shared" si="0"/>
        <v>8.9297471170230107</v>
      </c>
      <c r="M34" s="17">
        <v>0</v>
      </c>
      <c r="N34" s="17"/>
      <c r="O34" s="17">
        <v>2480.5969883586799</v>
      </c>
      <c r="P34" s="17">
        <f>(ChiKCB_2021!S35/ChiKCB_2021!R35)*O34</f>
        <v>304.33611053502625</v>
      </c>
      <c r="Q34" s="9">
        <f t="shared" si="5"/>
        <v>2480.5969883586799</v>
      </c>
      <c r="R34" s="9">
        <f t="shared" si="6"/>
        <v>304.33611053502625</v>
      </c>
      <c r="S34" s="17">
        <f t="shared" si="7"/>
        <v>0</v>
      </c>
      <c r="T34" s="17">
        <f t="shared" si="1"/>
        <v>0</v>
      </c>
      <c r="U34" s="17">
        <f t="shared" si="8"/>
        <v>2617.4327883586798</v>
      </c>
      <c r="V34" s="17">
        <f t="shared" si="2"/>
        <v>330.05378223205253</v>
      </c>
      <c r="W34" s="9">
        <f t="shared" si="9"/>
        <v>2617.4327883586798</v>
      </c>
      <c r="X34" s="9">
        <f t="shared" si="10"/>
        <v>330.05378223205253</v>
      </c>
      <c r="AC34" s="101"/>
      <c r="AD34" s="101"/>
    </row>
    <row r="35" spans="1:30" ht="16" customHeight="1">
      <c r="A35" s="6">
        <v>28</v>
      </c>
      <c r="B35" s="7" t="s">
        <v>40</v>
      </c>
      <c r="C35" s="7">
        <v>52201</v>
      </c>
      <c r="D35" s="8">
        <f>ChiKCB_2021!P36*0.94%</f>
        <v>0</v>
      </c>
      <c r="E35" s="8"/>
      <c r="F35" s="8">
        <f>ChiKCB_2021!R36*0.94%</f>
        <v>81.610799999999983</v>
      </c>
      <c r="G35" s="8">
        <f>(ChiKCB_2021!S36/ChiKCB_2021!R36)*Giatang2022!F35</f>
        <v>11.528639090372449</v>
      </c>
      <c r="H35" s="9">
        <f t="shared" si="3"/>
        <v>81.610799999999983</v>
      </c>
      <c r="I35" s="9">
        <f t="shared" si="4"/>
        <v>11.528639090372449</v>
      </c>
      <c r="J35" s="17">
        <f>ChiKCB_2021!Q36*0.5%</f>
        <v>0</v>
      </c>
      <c r="K35" s="17">
        <f>ChiKCB_2021!S36*0.5%</f>
        <v>6.1322548353044954</v>
      </c>
      <c r="L35" s="9">
        <f t="shared" si="0"/>
        <v>6.1322548353044954</v>
      </c>
      <c r="M35" s="17">
        <v>0</v>
      </c>
      <c r="N35" s="17"/>
      <c r="O35" s="17">
        <v>2498.3412133316001</v>
      </c>
      <c r="P35" s="17">
        <f>(ChiKCB_2021!S36/ChiKCB_2021!R36)*O35</f>
        <v>352.92478658588357</v>
      </c>
      <c r="Q35" s="9">
        <f t="shared" si="5"/>
        <v>2498.3412133316001</v>
      </c>
      <c r="R35" s="9">
        <f t="shared" si="6"/>
        <v>352.92478658588357</v>
      </c>
      <c r="S35" s="17">
        <f t="shared" si="7"/>
        <v>0</v>
      </c>
      <c r="T35" s="17">
        <f t="shared" si="1"/>
        <v>0</v>
      </c>
      <c r="U35" s="17">
        <f t="shared" si="8"/>
        <v>2579.9520133316</v>
      </c>
      <c r="V35" s="17">
        <f t="shared" si="2"/>
        <v>370.5856805115605</v>
      </c>
      <c r="W35" s="9">
        <f t="shared" si="9"/>
        <v>2579.9520133316</v>
      </c>
      <c r="X35" s="9">
        <f t="shared" si="10"/>
        <v>370.5856805115605</v>
      </c>
      <c r="AC35" s="101"/>
      <c r="AD35" s="101"/>
    </row>
    <row r="36" spans="1:30" ht="16" customHeight="1">
      <c r="A36" s="6">
        <v>29</v>
      </c>
      <c r="B36" s="7" t="s">
        <v>41</v>
      </c>
      <c r="C36" s="7">
        <v>52202</v>
      </c>
      <c r="D36" s="8">
        <f>ChiKCB_2021!P37*0.94%</f>
        <v>0</v>
      </c>
      <c r="E36" s="8"/>
      <c r="F36" s="8">
        <f>ChiKCB_2021!R37*0.94%</f>
        <v>616.40499999999986</v>
      </c>
      <c r="G36" s="8">
        <f>(ChiKCB_2021!S37/ChiKCB_2021!R37)*Giatang2022!F36</f>
        <v>66.557843070212428</v>
      </c>
      <c r="H36" s="9">
        <f t="shared" si="3"/>
        <v>616.40499999999986</v>
      </c>
      <c r="I36" s="9">
        <f t="shared" si="4"/>
        <v>66.557843070212428</v>
      </c>
      <c r="J36" s="17">
        <f>ChiKCB_2021!Q37*0.5%</f>
        <v>0</v>
      </c>
      <c r="K36" s="17">
        <f>ChiKCB_2021!S37*0.5%</f>
        <v>35.403108016070448</v>
      </c>
      <c r="L36" s="9">
        <f t="shared" si="0"/>
        <v>35.403108016070448</v>
      </c>
      <c r="M36" s="17">
        <v>0</v>
      </c>
      <c r="N36" s="17"/>
      <c r="O36" s="17">
        <v>4466.7759037370015</v>
      </c>
      <c r="P36" s="17">
        <f>(ChiKCB_2021!S37/ChiKCB_2021!R37)*O36</f>
        <v>482.31109356791995</v>
      </c>
      <c r="Q36" s="9">
        <f t="shared" si="5"/>
        <v>4466.7759037370015</v>
      </c>
      <c r="R36" s="9">
        <f t="shared" si="6"/>
        <v>482.31109356791995</v>
      </c>
      <c r="S36" s="17">
        <f t="shared" si="7"/>
        <v>0</v>
      </c>
      <c r="T36" s="17">
        <f t="shared" si="1"/>
        <v>0</v>
      </c>
      <c r="U36" s="17">
        <f t="shared" si="8"/>
        <v>5083.1809037370012</v>
      </c>
      <c r="V36" s="17">
        <f t="shared" si="2"/>
        <v>584.27204465420277</v>
      </c>
      <c r="W36" s="9">
        <f t="shared" si="9"/>
        <v>5083.1809037370012</v>
      </c>
      <c r="X36" s="9">
        <f t="shared" si="10"/>
        <v>584.27204465420277</v>
      </c>
      <c r="AC36" s="101"/>
      <c r="AD36" s="101"/>
    </row>
    <row r="37" spans="1:30" ht="16" customHeight="1">
      <c r="A37" s="6">
        <v>30</v>
      </c>
      <c r="B37" s="7" t="s">
        <v>68</v>
      </c>
      <c r="C37" s="7">
        <v>52208</v>
      </c>
      <c r="D37" s="8">
        <f>ChiKCB_2021!P38*0.94%</f>
        <v>122.57599999999998</v>
      </c>
      <c r="E37" s="8">
        <f>(ChiKCB_2021!Q38/ChiKCB_2021!P38)*Giatang2022!D37</f>
        <v>329.68535050909838</v>
      </c>
      <c r="F37" s="8">
        <f>ChiKCB_2021!R38*0.94%</f>
        <v>609.49599999999987</v>
      </c>
      <c r="G37" s="8">
        <f>(ChiKCB_2021!S38/ChiKCB_2021!R38)*Giatang2022!F37</f>
        <v>117.82505099087261</v>
      </c>
      <c r="H37" s="9">
        <f t="shared" si="3"/>
        <v>732.07199999999989</v>
      </c>
      <c r="I37" s="9">
        <f t="shared" si="4"/>
        <v>447.51040149997101</v>
      </c>
      <c r="J37" s="17">
        <f>ChiKCB_2021!Q38*0.5%</f>
        <v>175.36454814313748</v>
      </c>
      <c r="K37" s="17">
        <f>ChiKCB_2021!S38*0.5%</f>
        <v>62.672899463230131</v>
      </c>
      <c r="L37" s="9">
        <f t="shared" si="0"/>
        <v>238.03744760636761</v>
      </c>
      <c r="M37" s="17">
        <v>1618.6131531472004</v>
      </c>
      <c r="N37" s="17">
        <f>(ChiKCB_2021!Q38/ChiKCB_2021!P38)*M37</f>
        <v>4353.4871812913771</v>
      </c>
      <c r="O37" s="17">
        <v>52424.397107192002</v>
      </c>
      <c r="P37" s="17">
        <f>(ChiKCB_2021!S38/ChiKCB_2021!R38)*O37</f>
        <v>10134.450861565381</v>
      </c>
      <c r="Q37" s="9">
        <f t="shared" si="5"/>
        <v>54043.010260339201</v>
      </c>
      <c r="R37" s="9">
        <f t="shared" si="6"/>
        <v>14487.938042856758</v>
      </c>
      <c r="S37" s="17">
        <f t="shared" si="7"/>
        <v>1741.1891531472004</v>
      </c>
      <c r="T37" s="17">
        <f t="shared" si="1"/>
        <v>4858.5370799436132</v>
      </c>
      <c r="U37" s="17">
        <f t="shared" si="8"/>
        <v>53033.893107192001</v>
      </c>
      <c r="V37" s="17">
        <f t="shared" si="2"/>
        <v>10314.948812019484</v>
      </c>
      <c r="W37" s="9">
        <f t="shared" si="9"/>
        <v>54775.082260339201</v>
      </c>
      <c r="X37" s="9">
        <f t="shared" si="10"/>
        <v>15173.485891963097</v>
      </c>
      <c r="AC37" s="101"/>
      <c r="AD37" s="101"/>
    </row>
    <row r="38" spans="1:30" ht="16" customHeight="1">
      <c r="A38" s="10">
        <v>31</v>
      </c>
      <c r="B38" s="11" t="s">
        <v>42</v>
      </c>
      <c r="C38" s="11">
        <v>52204</v>
      </c>
      <c r="D38" s="8">
        <f>ChiKCB_2021!P39*0.94%</f>
        <v>0</v>
      </c>
      <c r="E38" s="8"/>
      <c r="F38" s="8">
        <f>ChiKCB_2021!R39*0.94%</f>
        <v>94.808399999999992</v>
      </c>
      <c r="G38" s="8">
        <f>(ChiKCB_2021!S39/ChiKCB_2021!R39)*Giatang2022!F38</f>
        <v>13.283806886433569</v>
      </c>
      <c r="H38" s="9">
        <f t="shared" si="3"/>
        <v>94.808399999999992</v>
      </c>
      <c r="I38" s="9">
        <f t="shared" si="4"/>
        <v>13.283806886433569</v>
      </c>
      <c r="J38" s="17">
        <f>ChiKCB_2021!Q39*0.5%</f>
        <v>0</v>
      </c>
      <c r="K38" s="17">
        <f>ChiKCB_2021!S39*0.5%</f>
        <v>7.0658547268263669</v>
      </c>
      <c r="L38" s="9">
        <f t="shared" si="0"/>
        <v>7.0658547268263669</v>
      </c>
      <c r="M38" s="17">
        <v>0</v>
      </c>
      <c r="N38" s="17"/>
      <c r="O38" s="17">
        <v>710.29000000000008</v>
      </c>
      <c r="P38" s="17">
        <f>(ChiKCB_2021!S39/ChiKCB_2021!R39)*O38</f>
        <v>99.520244971594295</v>
      </c>
      <c r="Q38" s="9">
        <f t="shared" si="5"/>
        <v>710.29000000000008</v>
      </c>
      <c r="R38" s="9">
        <f t="shared" si="6"/>
        <v>99.520244971594295</v>
      </c>
      <c r="S38" s="17">
        <f t="shared" si="7"/>
        <v>0</v>
      </c>
      <c r="T38" s="17">
        <f t="shared" si="1"/>
        <v>0</v>
      </c>
      <c r="U38" s="17">
        <f t="shared" si="8"/>
        <v>805.09840000000008</v>
      </c>
      <c r="V38" s="17">
        <f t="shared" si="2"/>
        <v>119.86990658485423</v>
      </c>
      <c r="W38" s="9">
        <f t="shared" si="9"/>
        <v>805.09840000000008</v>
      </c>
      <c r="X38" s="9">
        <f t="shared" si="10"/>
        <v>119.86990658485423</v>
      </c>
      <c r="AB38" s="170"/>
      <c r="AC38" s="101"/>
      <c r="AD38" s="101"/>
    </row>
    <row r="39" spans="1:30" ht="16" customHeight="1">
      <c r="A39" s="12">
        <v>32</v>
      </c>
      <c r="B39" s="13" t="s">
        <v>43</v>
      </c>
      <c r="C39" s="14">
        <v>52206</v>
      </c>
      <c r="D39" s="8">
        <f>ChiKCB_2021!P40*0.94%</f>
        <v>0</v>
      </c>
      <c r="E39" s="8"/>
      <c r="F39" s="8">
        <f>ChiKCB_2021!R40*0.94%</f>
        <v>15.265599999999997</v>
      </c>
      <c r="G39" s="8">
        <f>(ChiKCB_2021!S40/ChiKCB_2021!R40)*Giatang2022!F39</f>
        <v>1.9918669234334263</v>
      </c>
      <c r="H39" s="9">
        <f t="shared" si="3"/>
        <v>15.265599999999997</v>
      </c>
      <c r="I39" s="9">
        <f t="shared" si="4"/>
        <v>1.9918669234334263</v>
      </c>
      <c r="J39" s="17">
        <f>ChiKCB_2021!Q40*0.5%</f>
        <v>0</v>
      </c>
      <c r="K39" s="17">
        <f>ChiKCB_2021!S40*0.5%</f>
        <v>1.0595036826773545</v>
      </c>
      <c r="L39" s="9">
        <f t="shared" si="0"/>
        <v>1.0595036826773545</v>
      </c>
      <c r="M39" s="17">
        <v>0</v>
      </c>
      <c r="N39" s="17"/>
      <c r="O39" s="17">
        <v>94.850000000000009</v>
      </c>
      <c r="P39" s="17">
        <f>(ChiKCB_2021!S40/ChiKCB_2021!R40)*O39</f>
        <v>12.376099051963926</v>
      </c>
      <c r="Q39" s="9">
        <f t="shared" si="5"/>
        <v>94.850000000000009</v>
      </c>
      <c r="R39" s="9">
        <f t="shared" si="6"/>
        <v>12.376099051963926</v>
      </c>
      <c r="S39" s="17">
        <f t="shared" si="7"/>
        <v>0</v>
      </c>
      <c r="T39" s="17">
        <f t="shared" si="1"/>
        <v>0</v>
      </c>
      <c r="U39" s="17">
        <f t="shared" si="8"/>
        <v>110.1156</v>
      </c>
      <c r="V39" s="17">
        <f t="shared" si="2"/>
        <v>15.427469658074706</v>
      </c>
      <c r="W39" s="9">
        <f t="shared" si="9"/>
        <v>110.1156</v>
      </c>
      <c r="X39" s="9">
        <f t="shared" si="10"/>
        <v>15.427469658074706</v>
      </c>
      <c r="AB39" s="170"/>
      <c r="AC39" s="101"/>
      <c r="AD39" s="101"/>
    </row>
    <row r="40" spans="1:30" ht="16" customHeight="1">
      <c r="A40" s="6">
        <v>33</v>
      </c>
      <c r="B40" s="7" t="s">
        <v>44</v>
      </c>
      <c r="C40" s="7">
        <v>52205</v>
      </c>
      <c r="D40" s="8">
        <f>ChiKCB_2021!P41*0.94%</f>
        <v>0</v>
      </c>
      <c r="E40" s="8"/>
      <c r="F40" s="8">
        <f>ChiKCB_2021!R41*0.94%</f>
        <v>136.59139999999999</v>
      </c>
      <c r="G40" s="8">
        <f>(ChiKCB_2021!S41/ChiKCB_2021!R41)*Giatang2022!F40</f>
        <v>15.524733662659113</v>
      </c>
      <c r="H40" s="9">
        <f t="shared" si="3"/>
        <v>136.59139999999999</v>
      </c>
      <c r="I40" s="9">
        <f t="shared" si="4"/>
        <v>15.524733662659113</v>
      </c>
      <c r="J40" s="17">
        <f>ChiKCB_2021!Q41*0.5%</f>
        <v>0</v>
      </c>
      <c r="K40" s="17">
        <f>ChiKCB_2021!S41*0.5%</f>
        <v>8.2578370546059112</v>
      </c>
      <c r="L40" s="9">
        <f t="shared" si="0"/>
        <v>8.2578370546059112</v>
      </c>
      <c r="M40" s="17">
        <v>0</v>
      </c>
      <c r="N40" s="17"/>
      <c r="O40" s="17">
        <v>2749.4619999999995</v>
      </c>
      <c r="P40" s="17">
        <f>(ChiKCB_2021!S41/ChiKCB_2021!R41)*O40</f>
        <v>312.49892208149299</v>
      </c>
      <c r="Q40" s="9">
        <f t="shared" si="5"/>
        <v>2749.4619999999995</v>
      </c>
      <c r="R40" s="9">
        <f t="shared" si="6"/>
        <v>312.49892208149299</v>
      </c>
      <c r="S40" s="17">
        <f t="shared" si="7"/>
        <v>0</v>
      </c>
      <c r="T40" s="17">
        <f t="shared" si="1"/>
        <v>0</v>
      </c>
      <c r="U40" s="17">
        <f t="shared" si="8"/>
        <v>2886.0533999999993</v>
      </c>
      <c r="V40" s="17">
        <f t="shared" si="2"/>
        <v>336.28149279875799</v>
      </c>
      <c r="W40" s="9">
        <f t="shared" si="9"/>
        <v>2886.0533999999993</v>
      </c>
      <c r="X40" s="9">
        <f t="shared" si="10"/>
        <v>336.28149279875799</v>
      </c>
      <c r="AB40" s="170"/>
      <c r="AC40" s="101"/>
      <c r="AD40" s="101"/>
    </row>
    <row r="41" spans="1:30" ht="16" customHeight="1">
      <c r="A41" s="6">
        <v>34</v>
      </c>
      <c r="B41" s="7" t="s">
        <v>45</v>
      </c>
      <c r="C41" s="7">
        <v>52207</v>
      </c>
      <c r="D41" s="8">
        <f>ChiKCB_2021!P42*0.94%</f>
        <v>0</v>
      </c>
      <c r="E41" s="8"/>
      <c r="F41" s="8">
        <f>ChiKCB_2021!R42*0.94%</f>
        <v>191.75059999999996</v>
      </c>
      <c r="G41" s="8">
        <f>(ChiKCB_2021!S42/ChiKCB_2021!R42)*Giatang2022!F41</f>
        <v>22.431522278017859</v>
      </c>
      <c r="H41" s="9">
        <f t="shared" si="3"/>
        <v>191.75059999999996</v>
      </c>
      <c r="I41" s="9">
        <f t="shared" si="4"/>
        <v>22.431522278017859</v>
      </c>
      <c r="J41" s="17">
        <f>ChiKCB_2021!Q42*0.5%</f>
        <v>0</v>
      </c>
      <c r="K41" s="17">
        <f>ChiKCB_2021!S42*0.5%</f>
        <v>11.931660786179714</v>
      </c>
      <c r="L41" s="9">
        <f t="shared" si="0"/>
        <v>11.931660786179714</v>
      </c>
      <c r="M41" s="17">
        <v>0</v>
      </c>
      <c r="N41" s="17"/>
      <c r="O41" s="17">
        <v>2217.2380000000007</v>
      </c>
      <c r="P41" s="17">
        <f>(ChiKCB_2021!S42/ChiKCB_2021!R42)*O41</f>
        <v>259.37871168417615</v>
      </c>
      <c r="Q41" s="9">
        <f t="shared" si="5"/>
        <v>2217.2380000000007</v>
      </c>
      <c r="R41" s="9">
        <f t="shared" si="6"/>
        <v>259.37871168417615</v>
      </c>
      <c r="S41" s="17">
        <f t="shared" si="7"/>
        <v>0</v>
      </c>
      <c r="T41" s="17">
        <f t="shared" si="1"/>
        <v>0</v>
      </c>
      <c r="U41" s="17">
        <f t="shared" si="8"/>
        <v>2408.9886000000006</v>
      </c>
      <c r="V41" s="17">
        <f t="shared" si="2"/>
        <v>293.74189474837374</v>
      </c>
      <c r="W41" s="9">
        <f t="shared" si="9"/>
        <v>2408.9886000000006</v>
      </c>
      <c r="X41" s="9">
        <f t="shared" si="10"/>
        <v>293.74189474837374</v>
      </c>
      <c r="AB41" s="170"/>
      <c r="AC41" s="101"/>
      <c r="AD41" s="101"/>
    </row>
    <row r="42" spans="1:30" ht="16" customHeight="1">
      <c r="A42" s="207" t="s">
        <v>10</v>
      </c>
      <c r="B42" s="208"/>
      <c r="C42" s="75"/>
      <c r="D42" s="16">
        <f t="shared" ref="D42:X42" si="11">SUM(D8:D41)</f>
        <v>2147.7589999999996</v>
      </c>
      <c r="E42" s="16">
        <f t="shared" si="11"/>
        <v>7573.7402526185097</v>
      </c>
      <c r="F42" s="16">
        <f t="shared" si="11"/>
        <v>19464.871399999996</v>
      </c>
      <c r="G42" s="16">
        <f t="shared" si="11"/>
        <v>3545.8396365678195</v>
      </c>
      <c r="H42" s="16">
        <f t="shared" si="11"/>
        <v>21612.630399999995</v>
      </c>
      <c r="I42" s="16">
        <f t="shared" si="11"/>
        <v>11119.579889186334</v>
      </c>
      <c r="J42" s="16">
        <f t="shared" si="11"/>
        <v>6094.9534769442926</v>
      </c>
      <c r="K42" s="16">
        <f t="shared" si="11"/>
        <v>1886.084913067991</v>
      </c>
      <c r="L42" s="16">
        <f t="shared" si="11"/>
        <v>7981.0383900122833</v>
      </c>
      <c r="M42" s="16">
        <f t="shared" si="11"/>
        <v>69406.338196210752</v>
      </c>
      <c r="N42" s="16">
        <f t="shared" si="11"/>
        <v>225040.05006722471</v>
      </c>
      <c r="O42" s="16">
        <f t="shared" si="11"/>
        <v>494148.97832694597</v>
      </c>
      <c r="P42" s="16">
        <f t="shared" si="11"/>
        <v>89166.520063387463</v>
      </c>
      <c r="Q42" s="16">
        <f t="shared" si="11"/>
        <v>563555.31652315671</v>
      </c>
      <c r="R42" s="16">
        <f t="shared" si="11"/>
        <v>314206.57013061212</v>
      </c>
      <c r="S42" s="16">
        <f t="shared" si="11"/>
        <v>71554.097196210743</v>
      </c>
      <c r="T42" s="16">
        <f t="shared" si="11"/>
        <v>238708.74379678746</v>
      </c>
      <c r="U42" s="16">
        <f t="shared" si="11"/>
        <v>513613.8497269458</v>
      </c>
      <c r="V42" s="16">
        <f t="shared" si="11"/>
        <v>94598.444613023312</v>
      </c>
      <c r="W42" s="16">
        <f t="shared" si="11"/>
        <v>585167.94692315662</v>
      </c>
      <c r="X42" s="16">
        <f t="shared" si="11"/>
        <v>333307.18840981071</v>
      </c>
    </row>
    <row r="43" spans="1:30" ht="16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</sheetData>
  <mergeCells count="25">
    <mergeCell ref="V1:X1"/>
    <mergeCell ref="J6:J7"/>
    <mergeCell ref="K6:K7"/>
    <mergeCell ref="L6:L7"/>
    <mergeCell ref="A3:X3"/>
    <mergeCell ref="S6:T6"/>
    <mergeCell ref="S5:X5"/>
    <mergeCell ref="V4:X4"/>
    <mergeCell ref="A1:D1"/>
    <mergeCell ref="A2:D2"/>
    <mergeCell ref="M5:R5"/>
    <mergeCell ref="M6:N6"/>
    <mergeCell ref="O6:P6"/>
    <mergeCell ref="Q6:R6"/>
    <mergeCell ref="J5:L5"/>
    <mergeCell ref="W6:X6"/>
    <mergeCell ref="U6:V6"/>
    <mergeCell ref="A42:B42"/>
    <mergeCell ref="A5:A7"/>
    <mergeCell ref="B5:B7"/>
    <mergeCell ref="C5:C7"/>
    <mergeCell ref="F6:G6"/>
    <mergeCell ref="D5:I5"/>
    <mergeCell ref="D6:E6"/>
    <mergeCell ref="H6:I6"/>
  </mergeCells>
  <pageMargins left="0.2" right="0.2" top="0.21" bottom="0.2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E270-2F45-4A14-B878-9421F9669C83}">
  <dimension ref="A1:W47"/>
  <sheetViews>
    <sheetView workbookViewId="0">
      <selection activeCell="O1" sqref="O1:Q1"/>
    </sheetView>
  </sheetViews>
  <sheetFormatPr defaultRowHeight="14.5"/>
  <cols>
    <col min="1" max="1" width="5.08984375" style="60" customWidth="1"/>
    <col min="2" max="2" width="27.36328125" style="60" customWidth="1"/>
    <col min="3" max="3" width="5.1796875" style="60" customWidth="1"/>
    <col min="4" max="4" width="9.08984375" style="60" customWidth="1"/>
    <col min="5" max="5" width="7.54296875" style="60" customWidth="1"/>
    <col min="6" max="6" width="6.453125" style="60" customWidth="1"/>
    <col min="7" max="7" width="6.6328125" style="60" customWidth="1"/>
    <col min="8" max="8" width="7.81640625" style="60" customWidth="1"/>
    <col min="9" max="9" width="6.1796875" style="60" customWidth="1"/>
    <col min="10" max="10" width="7.6328125" style="60" customWidth="1"/>
    <col min="11" max="11" width="6.1796875" style="60" customWidth="1"/>
    <col min="12" max="12" width="6.81640625" style="60" customWidth="1"/>
    <col min="13" max="13" width="7.36328125" style="60" customWidth="1"/>
    <col min="14" max="14" width="7.453125" style="60" customWidth="1"/>
    <col min="15" max="15" width="7.08984375" style="60" customWidth="1"/>
    <col min="16" max="16" width="7.54296875" style="60" customWidth="1"/>
    <col min="17" max="17" width="8.36328125" style="60" customWidth="1"/>
  </cols>
  <sheetData>
    <row r="1" spans="1:23">
      <c r="A1" s="222" t="s">
        <v>3</v>
      </c>
      <c r="B1" s="222"/>
      <c r="C1" s="222"/>
      <c r="D1" s="100"/>
      <c r="E1" s="99"/>
      <c r="F1" s="94"/>
      <c r="G1" s="94"/>
      <c r="H1" s="99"/>
      <c r="I1" s="100"/>
      <c r="J1" s="100"/>
      <c r="K1" s="100"/>
      <c r="L1" s="99"/>
      <c r="M1" s="94"/>
      <c r="N1" s="94"/>
      <c r="O1" s="247" t="s">
        <v>255</v>
      </c>
      <c r="P1" s="247"/>
      <c r="Q1" s="247"/>
    </row>
    <row r="2" spans="1:23">
      <c r="A2" s="223" t="s">
        <v>109</v>
      </c>
      <c r="B2" s="223"/>
      <c r="C2" s="223"/>
      <c r="D2" s="59"/>
      <c r="E2" s="156"/>
      <c r="F2" s="156"/>
      <c r="G2" s="156"/>
      <c r="H2" s="156"/>
      <c r="I2" s="59"/>
      <c r="J2" s="59"/>
      <c r="K2" s="59"/>
      <c r="L2" s="156"/>
      <c r="M2" s="156"/>
      <c r="N2" s="156"/>
      <c r="O2" s="156"/>
      <c r="P2" s="59"/>
      <c r="Q2" s="59"/>
    </row>
    <row r="3" spans="1:23" ht="17.5" customHeight="1">
      <c r="A3" s="238" t="s">
        <v>217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185"/>
      <c r="S3" s="185"/>
      <c r="T3" s="185"/>
    </row>
    <row r="4" spans="1:23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262" t="s">
        <v>4</v>
      </c>
      <c r="P4" s="262"/>
      <c r="Q4" s="262"/>
    </row>
    <row r="5" spans="1:23">
      <c r="A5" s="231" t="s">
        <v>5</v>
      </c>
      <c r="B5" s="231" t="s">
        <v>110</v>
      </c>
      <c r="C5" s="231" t="s">
        <v>111</v>
      </c>
      <c r="D5" s="239" t="s">
        <v>148</v>
      </c>
      <c r="E5" s="240"/>
      <c r="F5" s="240"/>
      <c r="G5" s="240"/>
      <c r="H5" s="240"/>
      <c r="I5" s="240"/>
      <c r="J5" s="240"/>
      <c r="K5" s="239" t="s">
        <v>199</v>
      </c>
      <c r="L5" s="240"/>
      <c r="M5" s="240"/>
      <c r="N5" s="240"/>
      <c r="O5" s="240"/>
      <c r="P5" s="240"/>
      <c r="Q5" s="241"/>
    </row>
    <row r="6" spans="1:23">
      <c r="A6" s="231"/>
      <c r="B6" s="231"/>
      <c r="C6" s="231"/>
      <c r="D6" s="235"/>
      <c r="E6" s="236"/>
      <c r="F6" s="236"/>
      <c r="G6" s="236"/>
      <c r="H6" s="236"/>
      <c r="I6" s="236"/>
      <c r="J6" s="236"/>
      <c r="K6" s="235"/>
      <c r="L6" s="236"/>
      <c r="M6" s="236"/>
      <c r="N6" s="236"/>
      <c r="O6" s="236"/>
      <c r="P6" s="236"/>
      <c r="Q6" s="237"/>
    </row>
    <row r="7" spans="1:23">
      <c r="A7" s="231"/>
      <c r="B7" s="231"/>
      <c r="C7" s="231"/>
      <c r="D7" s="242" t="s">
        <v>141</v>
      </c>
      <c r="E7" s="244" t="s">
        <v>8</v>
      </c>
      <c r="F7" s="245"/>
      <c r="G7" s="246"/>
      <c r="H7" s="244" t="s">
        <v>9</v>
      </c>
      <c r="I7" s="245"/>
      <c r="J7" s="246"/>
      <c r="K7" s="242" t="s">
        <v>115</v>
      </c>
      <c r="L7" s="258" t="s">
        <v>8</v>
      </c>
      <c r="M7" s="259"/>
      <c r="N7" s="260"/>
      <c r="O7" s="261" t="s">
        <v>9</v>
      </c>
      <c r="P7" s="261"/>
      <c r="Q7" s="261"/>
    </row>
    <row r="8" spans="1:23" ht="92">
      <c r="A8" s="231"/>
      <c r="B8" s="231"/>
      <c r="C8" s="231"/>
      <c r="D8" s="243"/>
      <c r="E8" s="161" t="s">
        <v>11</v>
      </c>
      <c r="F8" s="161" t="s">
        <v>114</v>
      </c>
      <c r="G8" s="158" t="s">
        <v>201</v>
      </c>
      <c r="H8" s="161" t="s">
        <v>11</v>
      </c>
      <c r="I8" s="161" t="s">
        <v>114</v>
      </c>
      <c r="J8" s="158" t="s">
        <v>201</v>
      </c>
      <c r="K8" s="243"/>
      <c r="L8" s="161" t="s">
        <v>11</v>
      </c>
      <c r="M8" s="161" t="s">
        <v>115</v>
      </c>
      <c r="N8" s="158" t="s">
        <v>201</v>
      </c>
      <c r="O8" s="159" t="s">
        <v>11</v>
      </c>
      <c r="P8" s="159" t="s">
        <v>115</v>
      </c>
      <c r="Q8" s="158" t="s">
        <v>201</v>
      </c>
    </row>
    <row r="9" spans="1:23">
      <c r="A9" s="62" t="s">
        <v>2</v>
      </c>
      <c r="B9" s="62" t="s">
        <v>1</v>
      </c>
      <c r="C9" s="62" t="s">
        <v>112</v>
      </c>
      <c r="D9" s="62" t="s">
        <v>202</v>
      </c>
      <c r="E9" s="62">
        <v>2</v>
      </c>
      <c r="F9" s="62">
        <v>3</v>
      </c>
      <c r="G9" s="95" t="s">
        <v>203</v>
      </c>
      <c r="H9" s="62">
        <v>5</v>
      </c>
      <c r="I9" s="62">
        <v>6</v>
      </c>
      <c r="J9" s="95" t="s">
        <v>204</v>
      </c>
      <c r="K9" s="62" t="s">
        <v>205</v>
      </c>
      <c r="L9" s="62">
        <v>9</v>
      </c>
      <c r="M9" s="62">
        <v>10</v>
      </c>
      <c r="N9" s="97" t="s">
        <v>206</v>
      </c>
      <c r="O9" s="62">
        <v>12</v>
      </c>
      <c r="P9" s="62">
        <v>13</v>
      </c>
      <c r="Q9" s="97" t="s">
        <v>146</v>
      </c>
    </row>
    <row r="10" spans="1:23" ht="17" customHeight="1">
      <c r="A10" s="52">
        <v>1</v>
      </c>
      <c r="B10" s="53" t="s">
        <v>13</v>
      </c>
      <c r="C10" s="52" t="s">
        <v>70</v>
      </c>
      <c r="D10" s="54">
        <f>F10+I10</f>
        <v>506040.31107022485</v>
      </c>
      <c r="E10" s="54">
        <f>Tongmucthanhtoan2019_2021!O10</f>
        <v>63406</v>
      </c>
      <c r="F10" s="54">
        <f>ChiKCB_2022!L9/ChiKCB_2022!I9*ChiKCB_2022!E9</f>
        <v>404827.98999983154</v>
      </c>
      <c r="G10" s="96">
        <f>F10/E10*1000000</f>
        <v>6384695.2969723931</v>
      </c>
      <c r="H10" s="54">
        <f>Tongmucthanhtoan2019_2021!R10</f>
        <v>156897</v>
      </c>
      <c r="I10" s="54">
        <f>ChiKCB_2022!L9/ChiKCB_2022!I9*ChiKCB_2022!G9</f>
        <v>101212.32107039331</v>
      </c>
      <c r="J10" s="96">
        <f>I10/H10*1000000</f>
        <v>645087.675802554</v>
      </c>
      <c r="K10" s="54">
        <f>M10+P10</f>
        <v>644664.4995951762</v>
      </c>
      <c r="L10" s="54">
        <f>ChiKCB_2022!M9</f>
        <v>80394.940341190115</v>
      </c>
      <c r="M10" s="54">
        <f>(L10*N10)/1000000</f>
        <v>518537.25525381166</v>
      </c>
      <c r="N10" s="98">
        <f>G10+(Giatang2022!J8/E10*1000000)</f>
        <v>6449874.2464784263</v>
      </c>
      <c r="O10" s="54">
        <f>ChiKCB_2022!O9</f>
        <v>194526.61353359857</v>
      </c>
      <c r="P10" s="54">
        <f>(O10*Q10)/1000000</f>
        <v>126127.24434136452</v>
      </c>
      <c r="Q10" s="98">
        <f>J10+(Giatang2022!K8/H10)*1000000</f>
        <v>648380.40435829549</v>
      </c>
      <c r="R10" s="169">
        <f>D10-[1]Tongmuc2022!$D$10</f>
        <v>0</v>
      </c>
      <c r="T10" s="169"/>
      <c r="W10">
        <f t="shared" ref="W10" si="0">IF(T10&lt;0,T10,0)</f>
        <v>0</v>
      </c>
    </row>
    <row r="11" spans="1:23">
      <c r="A11" s="52">
        <v>2</v>
      </c>
      <c r="B11" s="53" t="s">
        <v>14</v>
      </c>
      <c r="C11" s="52" t="s">
        <v>71</v>
      </c>
      <c r="D11" s="54">
        <f t="shared" ref="D11:D43" si="1">F11+I11</f>
        <v>66187.846168686563</v>
      </c>
      <c r="E11" s="54">
        <f>Tongmucthanhtoan2019_2021!O11</f>
        <v>14945</v>
      </c>
      <c r="F11" s="54">
        <f>ChiKCB_2022!L10/ChiKCB_2022!I10*ChiKCB_2022!E10</f>
        <v>39222.139799453427</v>
      </c>
      <c r="G11" s="96">
        <f t="shared" ref="G11:G39" si="2">F11/E11*1000000</f>
        <v>2624432.2381701861</v>
      </c>
      <c r="H11" s="54">
        <f>Tongmucthanhtoan2019_2021!R11</f>
        <v>144105</v>
      </c>
      <c r="I11" s="54">
        <f>ChiKCB_2022!L10/ChiKCB_2022!I10*ChiKCB_2022!G10</f>
        <v>26965.706369233139</v>
      </c>
      <c r="J11" s="96">
        <f t="shared" ref="J11:J43" si="3">I11/H11*1000000</f>
        <v>187125.4041791273</v>
      </c>
      <c r="K11" s="54">
        <f t="shared" ref="K11:K43" si="4">M11+P11</f>
        <v>88211.317110573524</v>
      </c>
      <c r="L11" s="54">
        <f>ChiKCB_2022!M10</f>
        <v>21387.961916941</v>
      </c>
      <c r="M11" s="54">
        <f t="shared" ref="M11:M43" si="5">(L11*N11)/1000000</f>
        <v>56131.257047292711</v>
      </c>
      <c r="N11" s="98">
        <f>(G11+(Giatang2022!J9)/E11)</f>
        <v>2624432.2514354303</v>
      </c>
      <c r="O11" s="54">
        <f>ChiKCB_2022!O10</f>
        <v>170573.98687494901</v>
      </c>
      <c r="P11" s="54">
        <f t="shared" ref="P11:P43" si="6">(O11*Q11)/1000000</f>
        <v>32080.060063280816</v>
      </c>
      <c r="Q11" s="98">
        <f>J11+(Giatang2022!K9/H11)*1000000</f>
        <v>188071.23319922932</v>
      </c>
      <c r="R11" s="169"/>
      <c r="T11" s="169"/>
      <c r="W11">
        <f t="shared" ref="W11:W43" si="7">IF(T11&lt;0,T11,0)</f>
        <v>0</v>
      </c>
    </row>
    <row r="12" spans="1:23">
      <c r="A12" s="52">
        <v>3</v>
      </c>
      <c r="B12" s="53" t="s">
        <v>15</v>
      </c>
      <c r="C12" s="52" t="s">
        <v>72</v>
      </c>
      <c r="D12" s="54">
        <f t="shared" si="1"/>
        <v>29943.943349172208</v>
      </c>
      <c r="E12" s="54">
        <f>Tongmucthanhtoan2019_2021!O12</f>
        <v>9576</v>
      </c>
      <c r="F12" s="54">
        <f>ChiKCB_2022!L11/ChiKCB_2022!I11*ChiKCB_2022!E11</f>
        <v>14649.264619114221</v>
      </c>
      <c r="G12" s="96">
        <f t="shared" si="2"/>
        <v>1529789.5383369068</v>
      </c>
      <c r="H12" s="54">
        <f>Tongmucthanhtoan2019_2021!R12</f>
        <v>127428</v>
      </c>
      <c r="I12" s="54">
        <f>ChiKCB_2022!L11/ChiKCB_2022!I11*ChiKCB_2022!G11</f>
        <v>15294.678730057989</v>
      </c>
      <c r="J12" s="96">
        <f t="shared" si="3"/>
        <v>120026.04396253562</v>
      </c>
      <c r="K12" s="54">
        <f t="shared" si="4"/>
        <v>37998.827400855982</v>
      </c>
      <c r="L12" s="54">
        <f>ChiKCB_2022!M11</f>
        <v>12244.3024825088</v>
      </c>
      <c r="M12" s="54">
        <f t="shared" si="5"/>
        <v>18731.205945225236</v>
      </c>
      <c r="N12" s="98">
        <f>(G12+(Giatang2022!J10)/E12)</f>
        <v>1529789.5467694539</v>
      </c>
      <c r="O12" s="54">
        <f>ChiKCB_2022!O11</f>
        <v>159648.6525035864</v>
      </c>
      <c r="P12" s="54">
        <f t="shared" si="6"/>
        <v>19267.62145563075</v>
      </c>
      <c r="Q12" s="98">
        <f>J12+(Giatang2022!K10/H12)*1000000</f>
        <v>120687.65475610834</v>
      </c>
      <c r="R12" s="169"/>
      <c r="T12" s="169"/>
      <c r="W12">
        <f t="shared" si="7"/>
        <v>0</v>
      </c>
    </row>
    <row r="13" spans="1:23">
      <c r="A13" s="52">
        <v>4</v>
      </c>
      <c r="B13" s="53" t="s">
        <v>16</v>
      </c>
      <c r="C13" s="52" t="s">
        <v>73</v>
      </c>
      <c r="D13" s="54">
        <f t="shared" si="1"/>
        <v>41544.014661676323</v>
      </c>
      <c r="E13" s="54">
        <f>Tongmucthanhtoan2019_2021!O13</f>
        <v>17054</v>
      </c>
      <c r="F13" s="54">
        <f>ChiKCB_2022!L12/ChiKCB_2022!I12*ChiKCB_2022!E12</f>
        <v>25756.390769565576</v>
      </c>
      <c r="G13" s="96">
        <f t="shared" si="2"/>
        <v>1510284.4358839907</v>
      </c>
      <c r="H13" s="54">
        <f>Tongmucthanhtoan2019_2021!R13</f>
        <v>139429</v>
      </c>
      <c r="I13" s="54">
        <f>ChiKCB_2022!L12/ChiKCB_2022!I12*ChiKCB_2022!G12</f>
        <v>15787.623892110749</v>
      </c>
      <c r="J13" s="96">
        <f t="shared" si="3"/>
        <v>113230.56101751249</v>
      </c>
      <c r="K13" s="54">
        <f t="shared" si="4"/>
        <v>57010.9927141894</v>
      </c>
      <c r="L13" s="54">
        <f>ChiKCB_2022!M12</f>
        <v>23194.36656273792</v>
      </c>
      <c r="M13" s="54">
        <f t="shared" si="5"/>
        <v>35030.091005696238</v>
      </c>
      <c r="N13" s="98">
        <f>(G13+(Giatang2022!J11)/E13)</f>
        <v>1510284.4438947765</v>
      </c>
      <c r="O13" s="54">
        <f>ChiKCB_2022!O12</f>
        <v>193100.9305990602</v>
      </c>
      <c r="P13" s="54">
        <f t="shared" si="6"/>
        <v>21980.901708493162</v>
      </c>
      <c r="Q13" s="98">
        <f>J13+(Giatang2022!K11/H13)*1000000</f>
        <v>113831.15368890998</v>
      </c>
      <c r="R13" s="169"/>
      <c r="T13" s="169"/>
      <c r="W13">
        <f t="shared" si="7"/>
        <v>0</v>
      </c>
    </row>
    <row r="14" spans="1:23">
      <c r="A14" s="52">
        <v>5</v>
      </c>
      <c r="B14" s="53" t="s">
        <v>17</v>
      </c>
      <c r="C14" s="52" t="s">
        <v>74</v>
      </c>
      <c r="D14" s="54">
        <f t="shared" si="1"/>
        <v>42870.609068818361</v>
      </c>
      <c r="E14" s="54">
        <f>Tongmucthanhtoan2019_2021!O14</f>
        <v>9994</v>
      </c>
      <c r="F14" s="54">
        <f>ChiKCB_2022!L13/ChiKCB_2022!I13*ChiKCB_2022!E13</f>
        <v>18910.181862762325</v>
      </c>
      <c r="G14" s="96">
        <f t="shared" si="2"/>
        <v>1892153.4783632506</v>
      </c>
      <c r="H14" s="54">
        <f>Tongmucthanhtoan2019_2021!R14</f>
        <v>206990</v>
      </c>
      <c r="I14" s="54">
        <f>ChiKCB_2022!L13/ChiKCB_2022!I13*ChiKCB_2022!G13</f>
        <v>23960.427206056036</v>
      </c>
      <c r="J14" s="96">
        <f t="shared" si="3"/>
        <v>115756.44816684882</v>
      </c>
      <c r="K14" s="54">
        <f t="shared" si="4"/>
        <v>54763.953025888433</v>
      </c>
      <c r="L14" s="54">
        <f>ChiKCB_2022!M13</f>
        <v>13065.818257509371</v>
      </c>
      <c r="M14" s="54">
        <f t="shared" si="5"/>
        <v>24722.533594357035</v>
      </c>
      <c r="N14" s="98">
        <f>(G14+(Giatang2022!J12)/E14)</f>
        <v>1892153.488370172</v>
      </c>
      <c r="O14" s="54">
        <f>ChiKCB_2022!O13</f>
        <v>258157.34188886199</v>
      </c>
      <c r="P14" s="54">
        <f t="shared" si="6"/>
        <v>30041.419431531394</v>
      </c>
      <c r="Q14" s="98">
        <f>J14+(Giatang2022!K12/H14)*1000000</f>
        <v>116368.64251749375</v>
      </c>
      <c r="R14" s="169"/>
      <c r="T14" s="169"/>
      <c r="W14">
        <f t="shared" si="7"/>
        <v>0</v>
      </c>
    </row>
    <row r="15" spans="1:23">
      <c r="A15" s="52">
        <v>6</v>
      </c>
      <c r="B15" s="53" t="s">
        <v>18</v>
      </c>
      <c r="C15" s="52" t="s">
        <v>75</v>
      </c>
      <c r="D15" s="54">
        <f t="shared" si="1"/>
        <v>28351.816720162049</v>
      </c>
      <c r="E15" s="54">
        <f>Tongmucthanhtoan2019_2021!O15</f>
        <v>7749</v>
      </c>
      <c r="F15" s="54">
        <f>ChiKCB_2022!L14/ChiKCB_2022!I14*ChiKCB_2022!E14</f>
        <v>12787.367686173433</v>
      </c>
      <c r="G15" s="96">
        <f t="shared" si="2"/>
        <v>1650195.8557457004</v>
      </c>
      <c r="H15" s="54">
        <f>Tongmucthanhtoan2019_2021!R15</f>
        <v>121960</v>
      </c>
      <c r="I15" s="54">
        <f>ChiKCB_2022!L14/ChiKCB_2022!I14*ChiKCB_2022!G14</f>
        <v>15564.449033988616</v>
      </c>
      <c r="J15" s="96">
        <f t="shared" si="3"/>
        <v>127619.2934895754</v>
      </c>
      <c r="K15" s="54">
        <f t="shared" si="4"/>
        <v>36658.057613097466</v>
      </c>
      <c r="L15" s="54">
        <f>ChiKCB_2022!M14</f>
        <v>10886.742014076201</v>
      </c>
      <c r="M15" s="54">
        <f t="shared" si="5"/>
        <v>17965.256644197223</v>
      </c>
      <c r="N15" s="98">
        <f>(G15+(Giatang2022!J13)/E15)</f>
        <v>1650195.8640122763</v>
      </c>
      <c r="O15" s="54">
        <f>ChiKCB_2022!O14</f>
        <v>145743.06544564798</v>
      </c>
      <c r="P15" s="54">
        <f t="shared" si="6"/>
        <v>18692.800968900239</v>
      </c>
      <c r="Q15" s="98">
        <f>J15+(Giatang2022!K13/H15)*1000000</f>
        <v>128258.59612422761</v>
      </c>
      <c r="R15" s="169"/>
      <c r="T15" s="169"/>
      <c r="W15">
        <f t="shared" si="7"/>
        <v>0</v>
      </c>
    </row>
    <row r="16" spans="1:23">
      <c r="A16" s="52">
        <v>7</v>
      </c>
      <c r="B16" s="53" t="s">
        <v>76</v>
      </c>
      <c r="C16" s="52" t="s">
        <v>77</v>
      </c>
      <c r="D16" s="54">
        <f t="shared" si="1"/>
        <v>19909.833463881645</v>
      </c>
      <c r="E16" s="54">
        <f>Tongmucthanhtoan2019_2021!O16</f>
        <v>6864</v>
      </c>
      <c r="F16" s="54">
        <f>ChiKCB_2022!L15/ChiKCB_2022!I15*ChiKCB_2022!E15</f>
        <v>12495.738701870467</v>
      </c>
      <c r="G16" s="96">
        <f t="shared" si="2"/>
        <v>1820474.7526035062</v>
      </c>
      <c r="H16" s="54">
        <f>Tongmucthanhtoan2019_2021!R16</f>
        <v>70332</v>
      </c>
      <c r="I16" s="54">
        <f>ChiKCB_2022!L15/ChiKCB_2022!I15*ChiKCB_2022!G15</f>
        <v>7414.0947620111801</v>
      </c>
      <c r="J16" s="96">
        <f t="shared" si="3"/>
        <v>105415.66800334386</v>
      </c>
      <c r="K16" s="54">
        <f t="shared" si="4"/>
        <v>28463.696087148004</v>
      </c>
      <c r="L16" s="54">
        <f>ChiKCB_2022!M15</f>
        <v>9711.3391907119203</v>
      </c>
      <c r="M16" s="54">
        <f t="shared" si="5"/>
        <v>17679.247904358061</v>
      </c>
      <c r="N16" s="98">
        <f>(G16+(Giatang2022!J14)/E16)</f>
        <v>1820474.7622518193</v>
      </c>
      <c r="O16" s="54">
        <f>ChiKCB_2022!O15</f>
        <v>101764.6934171016</v>
      </c>
      <c r="P16" s="54">
        <f t="shared" si="6"/>
        <v>10784.448182789942</v>
      </c>
      <c r="Q16" s="98">
        <f>J16+(Giatang2022!K14/H16)*1000000</f>
        <v>105974.35928576787</v>
      </c>
      <c r="R16" s="169"/>
      <c r="T16" s="169"/>
      <c r="W16">
        <f t="shared" si="7"/>
        <v>0</v>
      </c>
    </row>
    <row r="17" spans="1:23">
      <c r="A17" s="52">
        <v>8</v>
      </c>
      <c r="B17" s="53" t="s">
        <v>20</v>
      </c>
      <c r="C17" s="52" t="s">
        <v>78</v>
      </c>
      <c r="D17" s="54">
        <f t="shared" si="1"/>
        <v>16947.799538375966</v>
      </c>
      <c r="E17" s="54">
        <f>Tongmucthanhtoan2019_2021!O17</f>
        <v>5938</v>
      </c>
      <c r="F17" s="54">
        <f>ChiKCB_2022!L16/ChiKCB_2022!I16*ChiKCB_2022!E16</f>
        <v>9374.9522280895508</v>
      </c>
      <c r="G17" s="96">
        <f t="shared" si="2"/>
        <v>1578806.370510197</v>
      </c>
      <c r="H17" s="54">
        <f>Tongmucthanhtoan2019_2021!R17</f>
        <v>63530</v>
      </c>
      <c r="I17" s="54">
        <f>ChiKCB_2022!L16/ChiKCB_2022!I16*ChiKCB_2022!G16</f>
        <v>7572.8473102864154</v>
      </c>
      <c r="J17" s="96">
        <f t="shared" si="3"/>
        <v>119201.1224663374</v>
      </c>
      <c r="K17" s="54">
        <f t="shared" si="4"/>
        <v>21485.824888738087</v>
      </c>
      <c r="L17" s="54">
        <f>ChiKCB_2022!M16</f>
        <v>7819.3300366243993</v>
      </c>
      <c r="M17" s="54">
        <f t="shared" si="5"/>
        <v>12345.208141074594</v>
      </c>
      <c r="N17" s="98">
        <f>(G17+(Giatang2022!J15)/E17)</f>
        <v>1578806.3789674765</v>
      </c>
      <c r="O17" s="54">
        <f>ChiKCB_2022!O16</f>
        <v>76273.724629857199</v>
      </c>
      <c r="P17" s="54">
        <f t="shared" si="6"/>
        <v>9140.6167476634928</v>
      </c>
      <c r="Q17" s="98">
        <f>J17+(Giatang2022!K15/H17)*1000000</f>
        <v>119839.65372113761</v>
      </c>
      <c r="R17" s="169"/>
      <c r="T17" s="169"/>
      <c r="W17">
        <f t="shared" si="7"/>
        <v>0</v>
      </c>
    </row>
    <row r="18" spans="1:23">
      <c r="A18" s="52">
        <v>9</v>
      </c>
      <c r="B18" s="53" t="s">
        <v>21</v>
      </c>
      <c r="C18" s="52" t="s">
        <v>79</v>
      </c>
      <c r="D18" s="54">
        <f t="shared" si="1"/>
        <v>33838.801176427529</v>
      </c>
      <c r="E18" s="54">
        <f>Tongmucthanhtoan2019_2021!O18</f>
        <v>10897</v>
      </c>
      <c r="F18" s="54">
        <f>ChiKCB_2022!L17/ChiKCB_2022!I17*ChiKCB_2022!E17</f>
        <v>16909.087655828305</v>
      </c>
      <c r="G18" s="96">
        <f t="shared" si="2"/>
        <v>1551719.5242569793</v>
      </c>
      <c r="H18" s="54">
        <f>Tongmucthanhtoan2019_2021!R18</f>
        <v>101257</v>
      </c>
      <c r="I18" s="54">
        <f>ChiKCB_2022!L17/ChiKCB_2022!I17*ChiKCB_2022!G17</f>
        <v>16929.713520599224</v>
      </c>
      <c r="J18" s="96">
        <f t="shared" si="3"/>
        <v>167195.48792280263</v>
      </c>
      <c r="K18" s="54">
        <f t="shared" si="4"/>
        <v>41577.523880924404</v>
      </c>
      <c r="L18" s="54">
        <f>ChiKCB_2022!M17</f>
        <v>14270.05419862736</v>
      </c>
      <c r="M18" s="54">
        <f t="shared" si="5"/>
        <v>22143.121826844326</v>
      </c>
      <c r="N18" s="98">
        <f>(G18+(Giatang2022!J16)/E18)</f>
        <v>1551719.5322898128</v>
      </c>
      <c r="O18" s="54">
        <f>ChiKCB_2022!O17</f>
        <v>115638.9671093666</v>
      </c>
      <c r="P18" s="54">
        <f t="shared" si="6"/>
        <v>19434.402054080074</v>
      </c>
      <c r="Q18" s="98">
        <f>J18+(Giatang2022!K16/H18)*1000000</f>
        <v>168061.01385962582</v>
      </c>
      <c r="R18" s="169"/>
      <c r="T18" s="169"/>
      <c r="W18">
        <f t="shared" si="7"/>
        <v>0</v>
      </c>
    </row>
    <row r="19" spans="1:23">
      <c r="A19" s="52">
        <v>10</v>
      </c>
      <c r="B19" s="53" t="s">
        <v>22</v>
      </c>
      <c r="C19" s="52" t="s">
        <v>80</v>
      </c>
      <c r="D19" s="54">
        <f t="shared" si="1"/>
        <v>6213.5637130014511</v>
      </c>
      <c r="E19" s="54">
        <f>Tongmucthanhtoan2019_2021!O19</f>
        <v>2231</v>
      </c>
      <c r="F19" s="54">
        <f>ChiKCB_2022!L18/ChiKCB_2022!I18*ChiKCB_2022!E18</f>
        <v>2811.0309157568017</v>
      </c>
      <c r="G19" s="96">
        <f t="shared" si="2"/>
        <v>1259986.9635844023</v>
      </c>
      <c r="H19" s="54">
        <f>Tongmucthanhtoan2019_2021!R19</f>
        <v>28404</v>
      </c>
      <c r="I19" s="54">
        <f>ChiKCB_2022!L18/ChiKCB_2022!I18*ChiKCB_2022!G18</f>
        <v>3402.5327972446498</v>
      </c>
      <c r="J19" s="96">
        <f t="shared" si="3"/>
        <v>119790.62094228453</v>
      </c>
      <c r="K19" s="54">
        <f t="shared" si="4"/>
        <v>7888.9270150638422</v>
      </c>
      <c r="L19" s="54">
        <f>ChiKCB_2022!M18</f>
        <v>2919.1614654477999</v>
      </c>
      <c r="M19" s="54">
        <f t="shared" si="5"/>
        <v>3678.1054103181018</v>
      </c>
      <c r="N19" s="98">
        <f>(G19+(Giatang2022!J17)/E19)</f>
        <v>1259986.9701807946</v>
      </c>
      <c r="O19" s="54">
        <f>ChiKCB_2022!O18</f>
        <v>34968.4434904152</v>
      </c>
      <c r="P19" s="54">
        <f t="shared" si="6"/>
        <v>4210.8216047457399</v>
      </c>
      <c r="Q19" s="98">
        <f>J19+(Giatang2022!K17/H19)*1000000</f>
        <v>120417.75911186668</v>
      </c>
      <c r="R19" s="169"/>
      <c r="T19" s="169"/>
      <c r="W19">
        <f t="shared" si="7"/>
        <v>0</v>
      </c>
    </row>
    <row r="20" spans="1:23">
      <c r="A20" s="52">
        <v>11</v>
      </c>
      <c r="B20" s="53" t="s">
        <v>23</v>
      </c>
      <c r="C20" s="52" t="s">
        <v>81</v>
      </c>
      <c r="D20" s="54">
        <f t="shared" si="1"/>
        <v>15280.063369171739</v>
      </c>
      <c r="E20" s="54">
        <f>Tongmucthanhtoan2019_2021!O20</f>
        <v>5749</v>
      </c>
      <c r="F20" s="54">
        <f>ChiKCB_2022!L19/ChiKCB_2022!I19*ChiKCB_2022!E19</f>
        <v>8935.883950455016</v>
      </c>
      <c r="G20" s="96">
        <f t="shared" si="2"/>
        <v>1554337.093486696</v>
      </c>
      <c r="H20" s="54">
        <f>Tongmucthanhtoan2019_2021!R20</f>
        <v>52260</v>
      </c>
      <c r="I20" s="54">
        <f>ChiKCB_2022!L19/ChiKCB_2022!I19*ChiKCB_2022!G19</f>
        <v>6344.1794187167234</v>
      </c>
      <c r="J20" s="96">
        <f t="shared" si="3"/>
        <v>121396.4680198378</v>
      </c>
      <c r="K20" s="54">
        <f t="shared" si="4"/>
        <v>17927.98086620204</v>
      </c>
      <c r="L20" s="54">
        <f>ChiKCB_2022!M19</f>
        <v>6919.9672527888706</v>
      </c>
      <c r="M20" s="54">
        <f t="shared" si="5"/>
        <v>10755.961842259407</v>
      </c>
      <c r="N20" s="98">
        <f>(G20+(Giatang2022!J18)/E20)</f>
        <v>1554337.1015122307</v>
      </c>
      <c r="O20" s="54">
        <f>ChiKCB_2022!O19</f>
        <v>58775.827313466798</v>
      </c>
      <c r="P20" s="54">
        <f t="shared" si="6"/>
        <v>7172.0190239426347</v>
      </c>
      <c r="Q20" s="98">
        <f>J20+(Giatang2022!K18/H20)*1000000</f>
        <v>122023.27643458576</v>
      </c>
      <c r="R20" s="169"/>
      <c r="T20" s="169"/>
      <c r="W20">
        <f t="shared" si="7"/>
        <v>0</v>
      </c>
    </row>
    <row r="21" spans="1:23">
      <c r="A21" s="52">
        <v>12</v>
      </c>
      <c r="B21" s="53" t="s">
        <v>24</v>
      </c>
      <c r="C21" s="52" t="s">
        <v>82</v>
      </c>
      <c r="D21" s="54">
        <f t="shared" si="1"/>
        <v>7084.7731205072132</v>
      </c>
      <c r="E21" s="54">
        <f>Tongmucthanhtoan2019_2021!O21</f>
        <v>3271</v>
      </c>
      <c r="F21" s="54">
        <f>ChiKCB_2022!L20/ChiKCB_2022!I20*ChiKCB_2022!E20</f>
        <v>3731.8797867293229</v>
      </c>
      <c r="G21" s="96">
        <f t="shared" si="2"/>
        <v>1140898.7425036144</v>
      </c>
      <c r="H21" s="54">
        <f>Tongmucthanhtoan2019_2021!R21</f>
        <v>23432</v>
      </c>
      <c r="I21" s="54">
        <f>ChiKCB_2022!L20/ChiKCB_2022!I20*ChiKCB_2022!G20</f>
        <v>3352.8933337778903</v>
      </c>
      <c r="J21" s="96">
        <f t="shared" si="3"/>
        <v>143090.36077918616</v>
      </c>
      <c r="K21" s="54">
        <f t="shared" si="4"/>
        <v>9483.9226643019119</v>
      </c>
      <c r="L21" s="54">
        <f>ChiKCB_2022!M20</f>
        <v>4790.1447298024577</v>
      </c>
      <c r="M21" s="54">
        <f t="shared" si="5"/>
        <v>5465.0701289505951</v>
      </c>
      <c r="N21" s="98">
        <f>(G21+(Giatang2022!J19)/E21)</f>
        <v>1140898.7488309087</v>
      </c>
      <c r="O21" s="54">
        <f>ChiKCB_2022!O20</f>
        <v>27931.213127195078</v>
      </c>
      <c r="P21" s="54">
        <f t="shared" si="6"/>
        <v>4018.8525353513169</v>
      </c>
      <c r="Q21" s="98">
        <f>J21+(Giatang2022!K19/H21)*1000000</f>
        <v>143883.92358935467</v>
      </c>
      <c r="R21" s="169"/>
      <c r="T21" s="169"/>
      <c r="W21">
        <f t="shared" si="7"/>
        <v>0</v>
      </c>
    </row>
    <row r="22" spans="1:23">
      <c r="A22" s="52">
        <v>13</v>
      </c>
      <c r="B22" s="53" t="s">
        <v>25</v>
      </c>
      <c r="C22" s="52" t="s">
        <v>83</v>
      </c>
      <c r="D22" s="54">
        <f t="shared" si="1"/>
        <v>83591.012651415978</v>
      </c>
      <c r="E22" s="54">
        <f>Tongmucthanhtoan2019_2021!O22</f>
        <v>25807</v>
      </c>
      <c r="F22" s="54">
        <f>ChiKCB_2022!L21/ChiKCB_2022!I21*ChiKCB_2022!E21</f>
        <v>62849.927100656023</v>
      </c>
      <c r="G22" s="96">
        <f t="shared" si="2"/>
        <v>2435382.9232633016</v>
      </c>
      <c r="H22" s="54">
        <f>Tongmucthanhtoan2019_2021!R22</f>
        <v>124789</v>
      </c>
      <c r="I22" s="54">
        <f>ChiKCB_2022!L21/ChiKCB_2022!I21*ChiKCB_2022!G21</f>
        <v>20741.085550759963</v>
      </c>
      <c r="J22" s="96">
        <f t="shared" si="3"/>
        <v>166209.2456126739</v>
      </c>
      <c r="K22" s="54">
        <f t="shared" si="4"/>
        <v>105998.87585823314</v>
      </c>
      <c r="L22" s="54">
        <f>ChiKCB_2022!M21</f>
        <v>33612.211347233642</v>
      </c>
      <c r="M22" s="54">
        <f t="shared" si="5"/>
        <v>81858.605946405631</v>
      </c>
      <c r="N22" s="98">
        <f>(G22+(Giatang2022!J20)/E22)</f>
        <v>2435382.9357062746</v>
      </c>
      <c r="O22" s="54">
        <f>ChiKCB_2022!O21</f>
        <v>144501.93902684216</v>
      </c>
      <c r="P22" s="54">
        <f t="shared" si="6"/>
        <v>24140.269911827512</v>
      </c>
      <c r="Q22" s="98">
        <f>J22+(Giatang2022!K20/H22)*1000000</f>
        <v>167058.44969556638</v>
      </c>
      <c r="R22" s="169"/>
      <c r="T22" s="169"/>
      <c r="W22">
        <f t="shared" si="7"/>
        <v>0</v>
      </c>
    </row>
    <row r="23" spans="1:23">
      <c r="A23" s="52">
        <v>14</v>
      </c>
      <c r="B23" s="53" t="s">
        <v>26</v>
      </c>
      <c r="C23" s="52" t="s">
        <v>84</v>
      </c>
      <c r="D23" s="54">
        <f t="shared" si="1"/>
        <v>7017.1787592295486</v>
      </c>
      <c r="E23" s="54">
        <f>Tongmucthanhtoan2019_2021!O23</f>
        <v>1856</v>
      </c>
      <c r="F23" s="54">
        <f>ChiKCB_2022!L22/ChiKCB_2022!I22*ChiKCB_2022!E22</f>
        <v>5664.8464853609221</v>
      </c>
      <c r="G23" s="96">
        <f t="shared" si="2"/>
        <v>3052180.2184056696</v>
      </c>
      <c r="H23" s="54">
        <f>Tongmucthanhtoan2019_2021!R23</f>
        <v>6277</v>
      </c>
      <c r="I23" s="54">
        <f>ChiKCB_2022!L22/ChiKCB_2022!I22*ChiKCB_2022!G22</f>
        <v>1352.3322738686265</v>
      </c>
      <c r="J23" s="96">
        <f t="shared" si="3"/>
        <v>215442.45242450639</v>
      </c>
      <c r="K23" s="54">
        <f t="shared" si="4"/>
        <v>12045.040605784543</v>
      </c>
      <c r="L23" s="54">
        <f>ChiKCB_2022!M22</f>
        <v>3101.4420000775763</v>
      </c>
      <c r="M23" s="54">
        <f t="shared" si="5"/>
        <v>9466.1599685000929</v>
      </c>
      <c r="N23" s="98">
        <f>(G23+(Giatang2022!J21)/E23)</f>
        <v>3052180.2336665709</v>
      </c>
      <c r="O23" s="54">
        <f>ChiKCB_2022!O22</f>
        <v>11910.607015842601</v>
      </c>
      <c r="P23" s="54">
        <f t="shared" si="6"/>
        <v>2578.8806372844501</v>
      </c>
      <c r="Q23" s="98">
        <f>J23+(Giatang2022!K21/H23)*1000000</f>
        <v>216519.66468662894</v>
      </c>
      <c r="R23" s="169"/>
      <c r="T23" s="169"/>
      <c r="W23">
        <f t="shared" si="7"/>
        <v>0</v>
      </c>
    </row>
    <row r="24" spans="1:23">
      <c r="A24" s="52">
        <v>15</v>
      </c>
      <c r="B24" s="53" t="s">
        <v>27</v>
      </c>
      <c r="C24" s="52" t="s">
        <v>85</v>
      </c>
      <c r="D24" s="54">
        <f t="shared" si="1"/>
        <v>8302.0661755932852</v>
      </c>
      <c r="E24" s="54">
        <f>Tongmucthanhtoan2019_2021!O24</f>
        <v>2501</v>
      </c>
      <c r="F24" s="54">
        <f>ChiKCB_2022!L23/ChiKCB_2022!I23*ChiKCB_2022!E23</f>
        <v>8009.9363737504555</v>
      </c>
      <c r="G24" s="96">
        <f t="shared" si="2"/>
        <v>3202693.4721113378</v>
      </c>
      <c r="H24" s="54">
        <f>Tongmucthanhtoan2019_2021!R24</f>
        <v>1646</v>
      </c>
      <c r="I24" s="54">
        <f>ChiKCB_2022!L23/ChiKCB_2022!I23*ChiKCB_2022!G23</f>
        <v>292.1298018428302</v>
      </c>
      <c r="J24" s="96">
        <f t="shared" si="3"/>
        <v>177478.61594339623</v>
      </c>
      <c r="K24" s="54">
        <f t="shared" si="4"/>
        <v>11077.843221944575</v>
      </c>
      <c r="L24" s="54">
        <f>ChiKCB_2022!M23</f>
        <v>3348.0577614106214</v>
      </c>
      <c r="M24" s="54">
        <f t="shared" si="5"/>
        <v>10722.802790335511</v>
      </c>
      <c r="N24" s="98">
        <f>(G24+(Giatang2022!J22)/E24)</f>
        <v>3202693.488124805</v>
      </c>
      <c r="O24" s="54">
        <f>ChiKCB_2022!O23</f>
        <v>1990.5162062748</v>
      </c>
      <c r="P24" s="54">
        <f t="shared" si="6"/>
        <v>355.04043160906406</v>
      </c>
      <c r="Q24" s="98">
        <f>J24+(Giatang2022!K22/H24)*1000000</f>
        <v>178366.00902311321</v>
      </c>
      <c r="R24" s="169"/>
      <c r="T24" s="169"/>
      <c r="W24">
        <f t="shared" si="7"/>
        <v>0</v>
      </c>
    </row>
    <row r="25" spans="1:23" ht="21">
      <c r="A25" s="52">
        <v>16</v>
      </c>
      <c r="B25" s="53" t="s">
        <v>28</v>
      </c>
      <c r="C25" s="52" t="s">
        <v>86</v>
      </c>
      <c r="D25" s="54">
        <f t="shared" si="1"/>
        <v>18927.599830733572</v>
      </c>
      <c r="E25" s="54">
        <f>Tongmucthanhtoan2019_2021!O25</f>
        <v>3796</v>
      </c>
      <c r="F25" s="54">
        <f>ChiKCB_2022!L24/ChiKCB_2022!I24*ChiKCB_2022!E24</f>
        <v>17323.438045027611</v>
      </c>
      <c r="G25" s="96">
        <f t="shared" si="2"/>
        <v>4563603.2784582749</v>
      </c>
      <c r="H25" s="54">
        <f>Tongmucthanhtoan2019_2021!R25</f>
        <v>3818</v>
      </c>
      <c r="I25" s="54">
        <f>ChiKCB_2022!L24/ChiKCB_2022!I24*ChiKCB_2022!G24</f>
        <v>1604.1617857059616</v>
      </c>
      <c r="J25" s="96">
        <f t="shared" si="3"/>
        <v>420157.61804765888</v>
      </c>
      <c r="K25" s="54">
        <f t="shared" si="4"/>
        <v>25364.052691625937</v>
      </c>
      <c r="L25" s="54">
        <f>ChiKCB_2022!M24</f>
        <v>5161.5034481573166</v>
      </c>
      <c r="M25" s="54">
        <f t="shared" si="5"/>
        <v>23555.054175559693</v>
      </c>
      <c r="N25" s="98">
        <f>(G25+(Giatang2022!J23)/E25)</f>
        <v>4563603.3012762917</v>
      </c>
      <c r="O25" s="54">
        <f>ChiKCB_2022!O24</f>
        <v>4284.10302736632</v>
      </c>
      <c r="P25" s="54">
        <f t="shared" si="6"/>
        <v>1808.9985160662425</v>
      </c>
      <c r="Q25" s="98">
        <f>J25+(Giatang2022!K23/H25)*1000000</f>
        <v>422258.40613789717</v>
      </c>
      <c r="R25" s="169"/>
      <c r="T25" s="169"/>
      <c r="W25">
        <f t="shared" si="7"/>
        <v>0</v>
      </c>
    </row>
    <row r="26" spans="1:23">
      <c r="A26" s="52">
        <v>17</v>
      </c>
      <c r="B26" s="53" t="s">
        <v>29</v>
      </c>
      <c r="C26" s="52" t="s">
        <v>87</v>
      </c>
      <c r="D26" s="54">
        <f t="shared" si="1"/>
        <v>12591.717051570724</v>
      </c>
      <c r="E26" s="54">
        <f>Tongmucthanhtoan2019_2021!O26</f>
        <v>2118</v>
      </c>
      <c r="F26" s="54">
        <f>ChiKCB_2022!L25/ChiKCB_2022!I25*ChiKCB_2022!E25</f>
        <v>7467.9819875056946</v>
      </c>
      <c r="G26" s="96">
        <f t="shared" si="2"/>
        <v>3525959.3897571741</v>
      </c>
      <c r="H26" s="54">
        <f>Tongmucthanhtoan2019_2021!R26</f>
        <v>17018</v>
      </c>
      <c r="I26" s="54">
        <f>ChiKCB_2022!L25/ChiKCB_2022!I25*ChiKCB_2022!G25</f>
        <v>5123.7350640650293</v>
      </c>
      <c r="J26" s="96">
        <f t="shared" si="3"/>
        <v>301077.39241185976</v>
      </c>
      <c r="K26" s="54">
        <f t="shared" si="4"/>
        <v>14000.416414189351</v>
      </c>
      <c r="L26" s="54">
        <f>ChiKCB_2022!M25</f>
        <v>2259.9164035941399</v>
      </c>
      <c r="M26" s="54">
        <f t="shared" si="5"/>
        <v>7968.3735031608885</v>
      </c>
      <c r="N26" s="98">
        <f>(G26+(Giatang2022!J24)/E26)</f>
        <v>3525959.4073869712</v>
      </c>
      <c r="O26" s="54">
        <f>ChiKCB_2022!O25</f>
        <v>19935.182443328402</v>
      </c>
      <c r="P26" s="54">
        <f t="shared" si="6"/>
        <v>6032.0429110284622</v>
      </c>
      <c r="Q26" s="98">
        <f>J26+(Giatang2022!K24/H26)*1000000</f>
        <v>302582.77937391907</v>
      </c>
      <c r="R26" s="169"/>
      <c r="T26" s="169"/>
      <c r="W26">
        <f t="shared" si="7"/>
        <v>0</v>
      </c>
    </row>
    <row r="27" spans="1:23">
      <c r="A27" s="52">
        <v>18</v>
      </c>
      <c r="B27" s="53" t="s">
        <v>30</v>
      </c>
      <c r="C27" s="52" t="s">
        <v>88</v>
      </c>
      <c r="D27" s="54">
        <f t="shared" si="1"/>
        <v>12787.134455174788</v>
      </c>
      <c r="E27" s="54">
        <f>Tongmucthanhtoan2019_2021!O27</f>
        <v>2744</v>
      </c>
      <c r="F27" s="54">
        <f>ChiKCB_2022!L26/ChiKCB_2022!I26*ChiKCB_2022!E26</f>
        <v>11709.258396730322</v>
      </c>
      <c r="G27" s="96">
        <f t="shared" si="2"/>
        <v>4267222.4477880187</v>
      </c>
      <c r="H27" s="54">
        <f>Tongmucthanhtoan2019_2021!R27</f>
        <v>2882</v>
      </c>
      <c r="I27" s="54">
        <f>ChiKCB_2022!L26/ChiKCB_2022!I26*ChiKCB_2022!G26</f>
        <v>1077.8760584444658</v>
      </c>
      <c r="J27" s="96">
        <f t="shared" si="3"/>
        <v>374002.79612923862</v>
      </c>
      <c r="K27" s="54">
        <f t="shared" si="4"/>
        <v>14686.438240707466</v>
      </c>
      <c r="L27" s="54">
        <f>ChiKCB_2022!M26</f>
        <v>3138.1353606240236</v>
      </c>
      <c r="M27" s="54">
        <f t="shared" si="5"/>
        <v>13391.121722007792</v>
      </c>
      <c r="N27" s="98">
        <f>(G27+(Giatang2022!J25)/E27)</f>
        <v>4267222.4691241309</v>
      </c>
      <c r="O27" s="54">
        <f>ChiKCB_2022!O26</f>
        <v>3446.15647596588</v>
      </c>
      <c r="P27" s="54">
        <f t="shared" si="6"/>
        <v>1295.3165186996732</v>
      </c>
      <c r="Q27" s="98">
        <f>J27+(Giatang2022!K25/H27)*1000000</f>
        <v>375872.81010988483</v>
      </c>
      <c r="R27" s="169"/>
      <c r="T27" s="169"/>
      <c r="W27">
        <f t="shared" si="7"/>
        <v>0</v>
      </c>
    </row>
    <row r="28" spans="1:23">
      <c r="A28" s="52">
        <v>19</v>
      </c>
      <c r="B28" s="53" t="s">
        <v>31</v>
      </c>
      <c r="C28" s="52" t="s">
        <v>89</v>
      </c>
      <c r="D28" s="54">
        <f t="shared" si="1"/>
        <v>36264.290167047329</v>
      </c>
      <c r="E28" s="54">
        <f>Tongmucthanhtoan2019_2021!O28</f>
        <v>8730</v>
      </c>
      <c r="F28" s="54">
        <f>ChiKCB_2022!L27/ChiKCB_2022!I27*ChiKCB_2022!E27</f>
        <v>33461.64022858844</v>
      </c>
      <c r="G28" s="96">
        <f t="shared" si="2"/>
        <v>3832948.4797924901</v>
      </c>
      <c r="H28" s="54">
        <f>Tongmucthanhtoan2019_2021!R28</f>
        <v>13643</v>
      </c>
      <c r="I28" s="54">
        <f>ChiKCB_2022!L27/ChiKCB_2022!I27*ChiKCB_2022!G27</f>
        <v>2802.6499384588901</v>
      </c>
      <c r="J28" s="96">
        <f t="shared" si="3"/>
        <v>205427.68734581032</v>
      </c>
      <c r="K28" s="54">
        <f t="shared" si="4"/>
        <v>45686.169606608644</v>
      </c>
      <c r="L28" s="54">
        <f>ChiKCB_2022!M27</f>
        <v>10979.533004637802</v>
      </c>
      <c r="M28" s="54">
        <f t="shared" si="5"/>
        <v>42083.984549377863</v>
      </c>
      <c r="N28" s="98">
        <f>(G28+(Giatang2022!J26)/E28)</f>
        <v>3832948.4989572326</v>
      </c>
      <c r="O28" s="54">
        <f>ChiKCB_2022!O27</f>
        <v>17447.812341402921</v>
      </c>
      <c r="P28" s="54">
        <f t="shared" si="6"/>
        <v>3602.1850572307808</v>
      </c>
      <c r="Q28" s="98">
        <f>J28+(Giatang2022!K26/H28)*1000000</f>
        <v>206454.82578253938</v>
      </c>
      <c r="R28" s="169"/>
      <c r="T28" s="169"/>
      <c r="W28">
        <f t="shared" si="7"/>
        <v>0</v>
      </c>
    </row>
    <row r="29" spans="1:23">
      <c r="A29" s="52">
        <v>20</v>
      </c>
      <c r="B29" s="53" t="s">
        <v>90</v>
      </c>
      <c r="C29" s="52" t="s">
        <v>91</v>
      </c>
      <c r="D29" s="54">
        <f t="shared" si="1"/>
        <v>33497.526730031212</v>
      </c>
      <c r="E29" s="54">
        <f>Tongmucthanhtoan2019_2021!O29</f>
        <v>7195</v>
      </c>
      <c r="F29" s="54">
        <f>ChiKCB_2022!L28/ChiKCB_2022!I28*ChiKCB_2022!E28</f>
        <v>27537.005142399008</v>
      </c>
      <c r="G29" s="96">
        <f t="shared" si="2"/>
        <v>3827241.8543987502</v>
      </c>
      <c r="H29" s="54">
        <f>Tongmucthanhtoan2019_2021!R29</f>
        <v>21979</v>
      </c>
      <c r="I29" s="54">
        <f>ChiKCB_2022!L28/ChiKCB_2022!I28*ChiKCB_2022!G28</f>
        <v>5960.5215876322027</v>
      </c>
      <c r="J29" s="96">
        <f t="shared" si="3"/>
        <v>271191.66420820798</v>
      </c>
      <c r="K29" s="54">
        <f t="shared" si="4"/>
        <v>58747.946449398747</v>
      </c>
      <c r="L29" s="54">
        <f>ChiKCB_2022!M28</f>
        <v>12153.982557990999</v>
      </c>
      <c r="M29" s="54">
        <f t="shared" si="5"/>
        <v>46516.230978599167</v>
      </c>
      <c r="N29" s="98">
        <f>(G29+(Giatang2022!J27)/E29)</f>
        <v>3827241.8737359205</v>
      </c>
      <c r="O29" s="54">
        <f>ChiKCB_2022!O28</f>
        <v>44876.841422250189</v>
      </c>
      <c r="P29" s="54">
        <f t="shared" si="6"/>
        <v>12231.71547079958</v>
      </c>
      <c r="Q29" s="98">
        <f>J29+(Giatang2022!K27/H29)*1000000</f>
        <v>272561.86226901045</v>
      </c>
      <c r="R29" s="169"/>
      <c r="T29" s="169"/>
      <c r="W29">
        <f t="shared" si="7"/>
        <v>0</v>
      </c>
    </row>
    <row r="30" spans="1:23">
      <c r="A30" s="52">
        <v>21</v>
      </c>
      <c r="B30" s="53" t="s">
        <v>92</v>
      </c>
      <c r="C30" s="52" t="s">
        <v>93</v>
      </c>
      <c r="D30" s="54">
        <f t="shared" si="1"/>
        <v>21504.247592718388</v>
      </c>
      <c r="E30" s="54">
        <f>Tongmucthanhtoan2019_2021!O30</f>
        <v>3024</v>
      </c>
      <c r="F30" s="54">
        <f>ChiKCB_2022!L29/ChiKCB_2022!I29*ChiKCB_2022!E29</f>
        <v>8419.9407576665362</v>
      </c>
      <c r="G30" s="96">
        <f t="shared" si="2"/>
        <v>2784371.9436727967</v>
      </c>
      <c r="H30" s="54">
        <f>Tongmucthanhtoan2019_2021!R30</f>
        <v>69151</v>
      </c>
      <c r="I30" s="54">
        <f>ChiKCB_2022!L29/ChiKCB_2022!I29*ChiKCB_2022!G29</f>
        <v>13084.306835051852</v>
      </c>
      <c r="J30" s="96">
        <f t="shared" si="3"/>
        <v>189213.55924067408</v>
      </c>
      <c r="K30" s="54">
        <f t="shared" si="4"/>
        <v>25242.945512820643</v>
      </c>
      <c r="L30" s="54">
        <f>ChiKCB_2022!M29</f>
        <v>3898.9977103711999</v>
      </c>
      <c r="M30" s="54">
        <f t="shared" si="5"/>
        <v>10856.259888911287</v>
      </c>
      <c r="N30" s="98">
        <f>(G30+(Giatang2022!J28)/E30)</f>
        <v>2784371.9579608906</v>
      </c>
      <c r="O30" s="54">
        <f>ChiKCB_2022!O29</f>
        <v>75645.935987581237</v>
      </c>
      <c r="P30" s="54">
        <f t="shared" si="6"/>
        <v>14386.685623909356</v>
      </c>
      <c r="Q30" s="98">
        <f>J30+(Giatang2022!K28/H30)*1000000</f>
        <v>190184.51468789033</v>
      </c>
      <c r="R30" s="169"/>
      <c r="T30" s="169"/>
      <c r="W30">
        <f t="shared" si="7"/>
        <v>0</v>
      </c>
    </row>
    <row r="31" spans="1:23">
      <c r="A31" s="52">
        <v>22</v>
      </c>
      <c r="B31" s="53" t="s">
        <v>34</v>
      </c>
      <c r="C31" s="52" t="s">
        <v>94</v>
      </c>
      <c r="D31" s="54">
        <f t="shared" si="1"/>
        <v>1264.7257759603997</v>
      </c>
      <c r="E31" s="54">
        <f>Tongmucthanhtoan2019_2021!O31</f>
        <v>0</v>
      </c>
      <c r="F31" s="54">
        <f>ChiKCB_2022!L30/ChiKCB_2022!I30*ChiKCB_2022!E30</f>
        <v>0</v>
      </c>
      <c r="G31" s="96"/>
      <c r="H31" s="54">
        <f>Tongmucthanhtoan2019_2021!R31</f>
        <v>8787</v>
      </c>
      <c r="I31" s="54">
        <f>ChiKCB_2022!L30/ChiKCB_2022!I30*ChiKCB_2022!G30</f>
        <v>1264.7257759603997</v>
      </c>
      <c r="J31" s="96">
        <f t="shared" si="3"/>
        <v>143931.46420398311</v>
      </c>
      <c r="K31" s="54">
        <f t="shared" si="4"/>
        <v>1649.3343511004596</v>
      </c>
      <c r="L31" s="54">
        <f>ChiKCB_2022!M30</f>
        <v>0</v>
      </c>
      <c r="M31" s="54">
        <f t="shared" si="5"/>
        <v>0</v>
      </c>
      <c r="N31" s="98"/>
      <c r="O31" s="54">
        <f>ChiKCB_2022!O30</f>
        <v>11400.8071060806</v>
      </c>
      <c r="P31" s="54">
        <f t="shared" si="6"/>
        <v>1649.3343511004596</v>
      </c>
      <c r="Q31" s="98">
        <f>J31+(Giatang2022!K29/H31)*1000000</f>
        <v>144668.20951832351</v>
      </c>
      <c r="R31" s="169"/>
      <c r="T31" s="169"/>
      <c r="W31">
        <f t="shared" si="7"/>
        <v>0</v>
      </c>
    </row>
    <row r="32" spans="1:23">
      <c r="A32" s="52">
        <v>23</v>
      </c>
      <c r="B32" s="53" t="s">
        <v>95</v>
      </c>
      <c r="C32" s="52" t="s">
        <v>96</v>
      </c>
      <c r="D32" s="54">
        <f t="shared" si="1"/>
        <v>12310.906062149144</v>
      </c>
      <c r="E32" s="54">
        <f>Tongmucthanhtoan2019_2021!O32</f>
        <v>0</v>
      </c>
      <c r="F32" s="54">
        <f>ChiKCB_2022!L31/ChiKCB_2022!I31*ChiKCB_2022!E31</f>
        <v>0</v>
      </c>
      <c r="G32" s="96"/>
      <c r="H32" s="54">
        <f>Tongmucthanhtoan2019_2021!R32</f>
        <v>111369</v>
      </c>
      <c r="I32" s="54">
        <f>ChiKCB_2022!L31/ChiKCB_2022!I31*ChiKCB_2022!G31</f>
        <v>12310.906062149144</v>
      </c>
      <c r="J32" s="96">
        <f t="shared" si="3"/>
        <v>110541.58753467431</v>
      </c>
      <c r="K32" s="54">
        <f t="shared" si="4"/>
        <v>15463.537346028403</v>
      </c>
      <c r="L32" s="54">
        <f>ChiKCB_2022!M31</f>
        <v>0</v>
      </c>
      <c r="M32" s="54">
        <f t="shared" si="5"/>
        <v>0</v>
      </c>
      <c r="N32" s="98"/>
      <c r="O32" s="54">
        <f>ChiKCB_2022!O31</f>
        <v>139192.9016722322</v>
      </c>
      <c r="P32" s="54">
        <f t="shared" si="6"/>
        <v>15463.537346028403</v>
      </c>
      <c r="Q32" s="98">
        <f>J32+(Giatang2022!K30/H32)*1000000</f>
        <v>111094.29547234769</v>
      </c>
      <c r="R32" s="169"/>
      <c r="T32" s="169"/>
      <c r="W32">
        <f t="shared" si="7"/>
        <v>0</v>
      </c>
    </row>
    <row r="33" spans="1:23">
      <c r="A33" s="52">
        <v>24</v>
      </c>
      <c r="B33" s="53" t="s">
        <v>97</v>
      </c>
      <c r="C33" s="52" t="s">
        <v>98</v>
      </c>
      <c r="D33" s="54">
        <f t="shared" si="1"/>
        <v>8196.265562875642</v>
      </c>
      <c r="E33" s="54">
        <f>Tongmucthanhtoan2019_2021!O33</f>
        <v>0</v>
      </c>
      <c r="F33" s="54">
        <f>ChiKCB_2022!L32/ChiKCB_2022!I32*ChiKCB_2022!E32</f>
        <v>0</v>
      </c>
      <c r="G33" s="96"/>
      <c r="H33" s="54">
        <f>Tongmucthanhtoan2019_2021!R33</f>
        <v>75276</v>
      </c>
      <c r="I33" s="54">
        <f>ChiKCB_2022!L32/ChiKCB_2022!I32*ChiKCB_2022!G32</f>
        <v>8196.265562875642</v>
      </c>
      <c r="J33" s="96">
        <f t="shared" si="3"/>
        <v>108882.85194319095</v>
      </c>
      <c r="K33" s="54">
        <f t="shared" si="4"/>
        <v>9613.743665699345</v>
      </c>
      <c r="L33" s="54">
        <f>ChiKCB_2022!M32</f>
        <v>0</v>
      </c>
      <c r="M33" s="54">
        <f t="shared" si="5"/>
        <v>0</v>
      </c>
      <c r="N33" s="98"/>
      <c r="O33" s="54">
        <f>ChiKCB_2022!O32</f>
        <v>87855.102291168805</v>
      </c>
      <c r="P33" s="54">
        <f t="shared" si="6"/>
        <v>9613.743665699345</v>
      </c>
      <c r="Q33" s="98">
        <f>J33+(Giatang2022!K31/H33)*1000000</f>
        <v>109427.2662029069</v>
      </c>
      <c r="R33" s="169"/>
      <c r="T33" s="169"/>
      <c r="W33">
        <f t="shared" si="7"/>
        <v>0</v>
      </c>
    </row>
    <row r="34" spans="1:23">
      <c r="A34" s="52">
        <v>25</v>
      </c>
      <c r="B34" s="53" t="s">
        <v>99</v>
      </c>
      <c r="C34" s="52" t="s">
        <v>100</v>
      </c>
      <c r="D34" s="54">
        <f t="shared" si="1"/>
        <v>18652.285420391916</v>
      </c>
      <c r="E34" s="54">
        <f>Tongmucthanhtoan2019_2021!O34</f>
        <v>0</v>
      </c>
      <c r="F34" s="54">
        <f>ChiKCB_2022!L33/ChiKCB_2022!I33*ChiKCB_2022!E33</f>
        <v>0</v>
      </c>
      <c r="G34" s="96"/>
      <c r="H34" s="54">
        <f>Tongmucthanhtoan2019_2021!R34</f>
        <v>155642</v>
      </c>
      <c r="I34" s="54">
        <f>ChiKCB_2022!L33/ChiKCB_2022!I33*ChiKCB_2022!G33</f>
        <v>18652.285420391916</v>
      </c>
      <c r="J34" s="96">
        <f t="shared" si="3"/>
        <v>119840.95180216082</v>
      </c>
      <c r="K34" s="54">
        <f t="shared" si="4"/>
        <v>22956.383064230318</v>
      </c>
      <c r="L34" s="54">
        <f>ChiKCB_2022!M33</f>
        <v>0</v>
      </c>
      <c r="M34" s="54">
        <f t="shared" si="5"/>
        <v>0</v>
      </c>
      <c r="N34" s="98"/>
      <c r="O34" s="54">
        <f>ChiKCB_2022!O33</f>
        <v>190592.00924844708</v>
      </c>
      <c r="P34" s="54">
        <f t="shared" si="6"/>
        <v>22956.383064230318</v>
      </c>
      <c r="Q34" s="98">
        <f>J34+(Giatang2022!K32/H34)*1000000</f>
        <v>120447.77299296648</v>
      </c>
      <c r="R34" s="169"/>
      <c r="T34" s="169"/>
      <c r="W34">
        <f t="shared" si="7"/>
        <v>0</v>
      </c>
    </row>
    <row r="35" spans="1:23">
      <c r="A35" s="52">
        <v>26</v>
      </c>
      <c r="B35" s="53" t="s">
        <v>38</v>
      </c>
      <c r="C35" s="52" t="s">
        <v>101</v>
      </c>
      <c r="D35" s="54">
        <f t="shared" si="1"/>
        <v>2740.0851365011667</v>
      </c>
      <c r="E35" s="54">
        <f>Tongmucthanhtoan2019_2021!O35</f>
        <v>0</v>
      </c>
      <c r="F35" s="54">
        <f>ChiKCB_2022!L34/ChiKCB_2022!I34*ChiKCB_2022!E34</f>
        <v>0</v>
      </c>
      <c r="G35" s="96"/>
      <c r="H35" s="54">
        <f>Tongmucthanhtoan2019_2021!R35</f>
        <v>22136</v>
      </c>
      <c r="I35" s="54">
        <f>ChiKCB_2022!L34/ChiKCB_2022!I34*ChiKCB_2022!G34</f>
        <v>2740.0851365011667</v>
      </c>
      <c r="J35" s="96">
        <f t="shared" si="3"/>
        <v>123784.11350294392</v>
      </c>
      <c r="K35" s="54">
        <f t="shared" si="4"/>
        <v>3029.0421174240369</v>
      </c>
      <c r="L35" s="54">
        <f>ChiKCB_2022!M34</f>
        <v>0</v>
      </c>
      <c r="M35" s="54">
        <f t="shared" si="5"/>
        <v>0</v>
      </c>
      <c r="N35" s="98"/>
      <c r="O35" s="54">
        <f>ChiKCB_2022!O34</f>
        <v>24342.760716436802</v>
      </c>
      <c r="P35" s="54">
        <f t="shared" si="6"/>
        <v>3029.0421174240369</v>
      </c>
      <c r="Q35" s="98">
        <f>J35+(Giatang2022!K33/H35)*1000000</f>
        <v>124432.97425089328</v>
      </c>
      <c r="R35" s="169"/>
      <c r="T35" s="169"/>
      <c r="W35">
        <f t="shared" si="7"/>
        <v>0</v>
      </c>
    </row>
    <row r="36" spans="1:23">
      <c r="A36" s="52">
        <v>27</v>
      </c>
      <c r="B36" s="53" t="s">
        <v>39</v>
      </c>
      <c r="C36" s="52" t="s">
        <v>102</v>
      </c>
      <c r="D36" s="54">
        <f t="shared" si="1"/>
        <v>1785.9494234046022</v>
      </c>
      <c r="E36" s="54">
        <f>Tongmucthanhtoan2019_2021!O36</f>
        <v>0</v>
      </c>
      <c r="F36" s="54">
        <f>ChiKCB_2022!L35/ChiKCB_2022!I35*ChiKCB_2022!E35</f>
        <v>0</v>
      </c>
      <c r="G36" s="96"/>
      <c r="H36" s="54">
        <f>Tongmucthanhtoan2019_2021!R36</f>
        <v>14557</v>
      </c>
      <c r="I36" s="54">
        <f>ChiKCB_2022!L35/ChiKCB_2022!I35*ChiKCB_2022!G35</f>
        <v>1785.9494234046022</v>
      </c>
      <c r="J36" s="96">
        <f t="shared" si="3"/>
        <v>122686.64033829788</v>
      </c>
      <c r="K36" s="54">
        <f t="shared" si="4"/>
        <v>2117.60882581223</v>
      </c>
      <c r="L36" s="54">
        <f>ChiKCB_2022!M35</f>
        <v>0</v>
      </c>
      <c r="M36" s="54">
        <f t="shared" si="5"/>
        <v>0</v>
      </c>
      <c r="N36" s="98"/>
      <c r="O36" s="54">
        <f>ChiKCB_2022!O35</f>
        <v>17174.432788358681</v>
      </c>
      <c r="P36" s="54">
        <f t="shared" si="6"/>
        <v>2117.60882581223</v>
      </c>
      <c r="Q36" s="98">
        <f>J36+(Giatang2022!K34/H36)*1000000</f>
        <v>123300.07353998936</v>
      </c>
      <c r="R36" s="169"/>
      <c r="T36" s="169"/>
      <c r="W36">
        <f t="shared" si="7"/>
        <v>0</v>
      </c>
    </row>
    <row r="37" spans="1:23">
      <c r="A37" s="52">
        <v>28</v>
      </c>
      <c r="B37" s="53" t="s">
        <v>103</v>
      </c>
      <c r="C37" s="52" t="s">
        <v>104</v>
      </c>
      <c r="D37" s="54">
        <f t="shared" si="1"/>
        <v>1085.4279914232975</v>
      </c>
      <c r="E37" s="54">
        <f>Tongmucthanhtoan2019_2021!O37</f>
        <v>0</v>
      </c>
      <c r="F37" s="54">
        <f>ChiKCB_2022!L36/ChiKCB_2022!I36*ChiKCB_2022!E36</f>
        <v>0</v>
      </c>
      <c r="G37" s="96"/>
      <c r="H37" s="54">
        <f>Tongmucthanhtoan2019_2021!R37</f>
        <v>8682</v>
      </c>
      <c r="I37" s="54">
        <f>ChiKCB_2022!L36/ChiKCB_2022!I36*ChiKCB_2022!G36</f>
        <v>1085.4279914232975</v>
      </c>
      <c r="J37" s="96">
        <f t="shared" si="3"/>
        <v>125020.5012005641</v>
      </c>
      <c r="K37" s="54">
        <f t="shared" si="4"/>
        <v>1415.9294071671045</v>
      </c>
      <c r="L37" s="54">
        <f>ChiKCB_2022!M36</f>
        <v>0</v>
      </c>
      <c r="M37" s="54">
        <f t="shared" si="5"/>
        <v>0</v>
      </c>
      <c r="N37" s="98"/>
      <c r="O37" s="54">
        <f>ChiKCB_2022!O36</f>
        <v>11261.9520133316</v>
      </c>
      <c r="P37" s="54">
        <f t="shared" si="6"/>
        <v>1415.9294071671045</v>
      </c>
      <c r="Q37" s="98">
        <f>J37+(Giatang2022!K35/H37)*1000000</f>
        <v>125726.81942623843</v>
      </c>
      <c r="R37" s="169"/>
      <c r="T37" s="169"/>
      <c r="W37">
        <f t="shared" si="7"/>
        <v>0</v>
      </c>
    </row>
    <row r="38" spans="1:23">
      <c r="A38" s="52">
        <v>29</v>
      </c>
      <c r="B38" s="53" t="s">
        <v>41</v>
      </c>
      <c r="C38" s="52" t="s">
        <v>105</v>
      </c>
      <c r="D38" s="54">
        <f t="shared" si="1"/>
        <v>7080.6216032140892</v>
      </c>
      <c r="E38" s="54">
        <f>Tongmucthanhtoan2019_2021!O38</f>
        <v>0</v>
      </c>
      <c r="F38" s="54">
        <f>ChiKCB_2022!L37/ChiKCB_2022!I37*ChiKCB_2022!E37</f>
        <v>0</v>
      </c>
      <c r="G38" s="96"/>
      <c r="H38" s="54">
        <f>Tongmucthanhtoan2019_2021!R38</f>
        <v>65575</v>
      </c>
      <c r="I38" s="54">
        <f>ChiKCB_2022!L37/ChiKCB_2022!I37*ChiKCB_2022!G37</f>
        <v>7080.6216032140892</v>
      </c>
      <c r="J38" s="96">
        <f t="shared" si="3"/>
        <v>107977.45487173602</v>
      </c>
      <c r="K38" s="54">
        <f t="shared" si="4"/>
        <v>7667.6379925514821</v>
      </c>
      <c r="L38" s="54">
        <f>ChiKCB_2022!M37</f>
        <v>0</v>
      </c>
      <c r="M38" s="54">
        <f t="shared" si="5"/>
        <v>0</v>
      </c>
      <c r="N38" s="98"/>
      <c r="O38" s="54">
        <f>ChiKCB_2022!O37</f>
        <v>70658.180903736997</v>
      </c>
      <c r="P38" s="54">
        <f t="shared" si="6"/>
        <v>7667.6379925514821</v>
      </c>
      <c r="Q38" s="98">
        <f>J38+(Giatang2022!K36/H38)*1000000</f>
        <v>108517.3421460947</v>
      </c>
      <c r="R38" s="169"/>
      <c r="T38" s="169"/>
      <c r="W38">
        <f t="shared" si="7"/>
        <v>0</v>
      </c>
    </row>
    <row r="39" spans="1:23">
      <c r="A39" s="52">
        <v>30</v>
      </c>
      <c r="B39" s="7" t="s">
        <v>68</v>
      </c>
      <c r="C39" s="52">
        <v>52208</v>
      </c>
      <c r="D39" s="54">
        <f t="shared" si="1"/>
        <v>47607.489521273521</v>
      </c>
      <c r="E39" s="54">
        <f>Tongmucthanhtoan2019_2021!O39</f>
        <v>13040</v>
      </c>
      <c r="F39" s="54">
        <f>ChiKCB_2022!L38/ChiKCB_2022!I38*ChiKCB_2022!E38</f>
        <v>35072.909628627494</v>
      </c>
      <c r="G39" s="96">
        <f t="shared" si="2"/>
        <v>2689640.3089438262</v>
      </c>
      <c r="H39" s="54">
        <f>Tongmucthanhtoan2019_2021!R39</f>
        <v>64840</v>
      </c>
      <c r="I39" s="54">
        <f>ChiKCB_2022!L38/ChiKCB_2022!I38*ChiKCB_2022!G38</f>
        <v>12534.579892646027</v>
      </c>
      <c r="J39" s="96">
        <f t="shared" si="3"/>
        <v>193315.54430360929</v>
      </c>
      <c r="K39" s="54">
        <f t="shared" si="4"/>
        <v>62656.872443436674</v>
      </c>
      <c r="L39" s="54">
        <f>ChiKCB_2022!M38</f>
        <v>14781.189153147201</v>
      </c>
      <c r="M39" s="54">
        <f t="shared" si="5"/>
        <v>39756.082359208383</v>
      </c>
      <c r="N39" s="98">
        <f>(G39+(Giatang2022!J37)/E39)</f>
        <v>2689640.3223920278</v>
      </c>
      <c r="O39" s="54">
        <f>ChiKCB_2022!O38</f>
        <v>117873.89310719201</v>
      </c>
      <c r="P39" s="54">
        <f t="shared" si="6"/>
        <v>22900.790084228294</v>
      </c>
      <c r="Q39" s="98">
        <f>J39+(Giatang2022!K37/H39)*1000000</f>
        <v>194282.12202512735</v>
      </c>
      <c r="R39" s="169"/>
      <c r="T39" s="169"/>
      <c r="W39">
        <f t="shared" si="7"/>
        <v>0</v>
      </c>
    </row>
    <row r="40" spans="1:23">
      <c r="A40" s="52">
        <v>31</v>
      </c>
      <c r="B40" s="53" t="s">
        <v>42</v>
      </c>
      <c r="C40" s="52" t="s">
        <v>106</v>
      </c>
      <c r="D40" s="54">
        <f t="shared" si="1"/>
        <v>1387.664987316806</v>
      </c>
      <c r="E40" s="54">
        <f>Tongmucthanhtoan2019_2021!O40</f>
        <v>0</v>
      </c>
      <c r="F40" s="54">
        <f>ChiKCB_2022!L39/ChiKCB_2022!I39*ChiKCB_2022!E39</f>
        <v>0</v>
      </c>
      <c r="G40" s="96"/>
      <c r="H40" s="54">
        <f>Tongmucthanhtoan2019_2021!R40</f>
        <v>10086</v>
      </c>
      <c r="I40" s="54">
        <f>ChiKCB_2022!L39/ChiKCB_2022!I39*ChiKCB_2022!G39</f>
        <v>1387.664987316806</v>
      </c>
      <c r="J40" s="96">
        <f t="shared" si="3"/>
        <v>137583.28250216201</v>
      </c>
      <c r="K40" s="54">
        <f t="shared" si="4"/>
        <v>1506.0629429121614</v>
      </c>
      <c r="L40" s="54">
        <f>ChiKCB_2022!M39</f>
        <v>0</v>
      </c>
      <c r="M40" s="54">
        <f t="shared" si="5"/>
        <v>0</v>
      </c>
      <c r="N40" s="98"/>
      <c r="O40" s="54">
        <f>ChiKCB_2022!O39</f>
        <v>10891.098400000001</v>
      </c>
      <c r="P40" s="54">
        <f t="shared" si="6"/>
        <v>1506.0629429121614</v>
      </c>
      <c r="Q40" s="98">
        <f>J40+(Giatang2022!K38/H40)*1000000</f>
        <v>138283.84315324534</v>
      </c>
      <c r="R40" s="169"/>
      <c r="T40" s="169"/>
      <c r="W40">
        <f t="shared" si="7"/>
        <v>0</v>
      </c>
    </row>
    <row r="41" spans="1:23">
      <c r="A41" s="52">
        <v>32</v>
      </c>
      <c r="B41" s="53" t="s">
        <v>43</v>
      </c>
      <c r="C41" s="52" t="s">
        <v>107</v>
      </c>
      <c r="D41" s="54">
        <f t="shared" si="1"/>
        <v>210.86675997829624</v>
      </c>
      <c r="E41" s="54">
        <f>Tongmucthanhtoan2019_2021!O41</f>
        <v>0</v>
      </c>
      <c r="F41" s="54">
        <f>ChiKCB_2022!L40/ChiKCB_2022!I40*ChiKCB_2022!E40</f>
        <v>0</v>
      </c>
      <c r="G41" s="96"/>
      <c r="H41" s="54">
        <f>Tongmucthanhtoan2019_2021!R41</f>
        <v>1624</v>
      </c>
      <c r="I41" s="54">
        <f>ChiKCB_2022!L40/ChiKCB_2022!I40*ChiKCB_2022!G40</f>
        <v>210.86675997829624</v>
      </c>
      <c r="J41" s="96">
        <f t="shared" si="3"/>
        <v>129844.06402604448</v>
      </c>
      <c r="K41" s="54">
        <f t="shared" si="4"/>
        <v>226.2959605075169</v>
      </c>
      <c r="L41" s="54">
        <f>ChiKCB_2022!M40</f>
        <v>0</v>
      </c>
      <c r="M41" s="54">
        <f t="shared" si="5"/>
        <v>0</v>
      </c>
      <c r="N41" s="98"/>
      <c r="O41" s="54">
        <f>ChiKCB_2022!O40</f>
        <v>1734.1156000000001</v>
      </c>
      <c r="P41" s="54">
        <f t="shared" si="6"/>
        <v>226.2959605075169</v>
      </c>
      <c r="Q41" s="98">
        <f>J41+(Giatang2022!K39/H41)*1000000</f>
        <v>130496.46777153546</v>
      </c>
      <c r="R41" s="169"/>
      <c r="T41" s="169"/>
      <c r="W41">
        <f t="shared" si="7"/>
        <v>0</v>
      </c>
    </row>
    <row r="42" spans="1:23">
      <c r="A42" s="52">
        <v>33</v>
      </c>
      <c r="B42" s="53" t="s">
        <v>44</v>
      </c>
      <c r="C42" s="52">
        <v>52205</v>
      </c>
      <c r="D42" s="54">
        <f t="shared" si="1"/>
        <v>1651.5674109211823</v>
      </c>
      <c r="E42" s="54">
        <f>Tongmucthanhtoan2019_2021!O42</f>
        <v>0</v>
      </c>
      <c r="F42" s="54">
        <f>ChiKCB_2022!L41/ChiKCB_2022!I41*ChiKCB_2022!E41</f>
        <v>0</v>
      </c>
      <c r="G42" s="96"/>
      <c r="H42" s="54">
        <f>Tongmucthanhtoan2019_2021!R42</f>
        <v>14531</v>
      </c>
      <c r="I42" s="54">
        <f>ChiKCB_2022!L41/ChiKCB_2022!I41*ChiKCB_2022!G41</f>
        <v>1651.5674109211823</v>
      </c>
      <c r="J42" s="96">
        <f t="shared" si="3"/>
        <v>113658.20734437976</v>
      </c>
      <c r="K42" s="54">
        <f t="shared" si="4"/>
        <v>1989.4890219986612</v>
      </c>
      <c r="L42" s="54">
        <f>ChiKCB_2022!M41</f>
        <v>0</v>
      </c>
      <c r="M42" s="54">
        <f t="shared" si="5"/>
        <v>0</v>
      </c>
      <c r="N42" s="98"/>
      <c r="O42" s="54">
        <f>ChiKCB_2022!O41</f>
        <v>17417.053400000001</v>
      </c>
      <c r="P42" s="54">
        <f t="shared" si="6"/>
        <v>1989.4890219986612</v>
      </c>
      <c r="Q42" s="98">
        <f>J42+(Giatang2022!K40/H42)*1000000</f>
        <v>114226.49838110166</v>
      </c>
      <c r="R42" s="169"/>
      <c r="T42" s="169"/>
      <c r="W42">
        <f t="shared" si="7"/>
        <v>0</v>
      </c>
    </row>
    <row r="43" spans="1:23">
      <c r="A43" s="52">
        <v>34</v>
      </c>
      <c r="B43" s="53" t="s">
        <v>45</v>
      </c>
      <c r="C43" s="52">
        <v>52207</v>
      </c>
      <c r="D43" s="54">
        <f t="shared" si="1"/>
        <v>2386.3321572359428</v>
      </c>
      <c r="E43" s="54">
        <f>Tongmucthanhtoan2019_2021!O43</f>
        <v>0</v>
      </c>
      <c r="F43" s="54">
        <f>ChiKCB_2022!L42/ChiKCB_2022!I42*ChiKCB_2022!E42</f>
        <v>0</v>
      </c>
      <c r="G43" s="96"/>
      <c r="H43" s="54">
        <f>Tongmucthanhtoan2019_2021!R43</f>
        <v>20399</v>
      </c>
      <c r="I43" s="54">
        <f>ChiKCB_2022!L42/ChiKCB_2022!I42*ChiKCB_2022!G42</f>
        <v>2386.3321572359428</v>
      </c>
      <c r="J43" s="96">
        <f t="shared" si="3"/>
        <v>116982.8009822022</v>
      </c>
      <c r="K43" s="54">
        <f t="shared" si="4"/>
        <v>2681.4831031541275</v>
      </c>
      <c r="L43" s="54">
        <f>ChiKCB_2022!M42</f>
        <v>0</v>
      </c>
      <c r="M43" s="54">
        <f t="shared" si="5"/>
        <v>0</v>
      </c>
      <c r="N43" s="98"/>
      <c r="O43" s="54">
        <f>ChiKCB_2022!O42</f>
        <v>22807.988600000001</v>
      </c>
      <c r="P43" s="54">
        <f t="shared" si="6"/>
        <v>2681.4831031541275</v>
      </c>
      <c r="Q43" s="98">
        <f>J43+(Giatang2022!K41/H43)*1000000</f>
        <v>117567.71498711321</v>
      </c>
      <c r="R43" s="169"/>
      <c r="T43" s="169"/>
      <c r="W43">
        <f t="shared" si="7"/>
        <v>0</v>
      </c>
    </row>
    <row r="44" spans="1:23">
      <c r="A44" s="55"/>
      <c r="B44" s="157" t="s">
        <v>108</v>
      </c>
      <c r="C44" s="56"/>
      <c r="D44" s="57">
        <f t="shared" ref="D44:P44" si="8">SUM(D10:D43)</f>
        <v>1155056.336646267</v>
      </c>
      <c r="E44" s="57">
        <f t="shared" si="8"/>
        <v>228485</v>
      </c>
      <c r="F44" s="57">
        <f t="shared" si="8"/>
        <v>787928.79212194239</v>
      </c>
      <c r="G44" s="57"/>
      <c r="H44" s="57">
        <f t="shared" si="8"/>
        <v>2070731</v>
      </c>
      <c r="I44" s="57">
        <f t="shared" si="8"/>
        <v>367127.54452432424</v>
      </c>
      <c r="J44" s="57"/>
      <c r="K44" s="57">
        <f t="shared" si="8"/>
        <v>1491958.6717054949</v>
      </c>
      <c r="L44" s="57">
        <f t="shared" si="8"/>
        <v>300039.09719621076</v>
      </c>
      <c r="M44" s="57">
        <f t="shared" si="8"/>
        <v>1029358.9906264516</v>
      </c>
      <c r="N44" s="57"/>
      <c r="O44" s="57">
        <f t="shared" si="8"/>
        <v>2584344.8497269456</v>
      </c>
      <c r="P44" s="57">
        <f t="shared" si="8"/>
        <v>462599.68107904331</v>
      </c>
      <c r="Q44" s="57"/>
    </row>
    <row r="45" spans="1:23">
      <c r="A45" s="63"/>
      <c r="B45" s="6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1:23">
      <c r="A46" s="248"/>
      <c r="B46" s="248"/>
      <c r="C46" s="248"/>
      <c r="D46" s="160"/>
      <c r="E46" s="65"/>
      <c r="F46" s="65"/>
      <c r="G46" s="65"/>
      <c r="H46" s="65"/>
      <c r="I46" s="65"/>
      <c r="J46" s="65"/>
      <c r="K46" s="160"/>
      <c r="L46" s="65"/>
      <c r="M46" s="65"/>
      <c r="N46" s="65"/>
      <c r="O46" s="65"/>
      <c r="P46" s="65"/>
      <c r="Q46" s="65"/>
    </row>
    <row r="47" spans="1:23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</row>
  </sheetData>
  <mergeCells count="17">
    <mergeCell ref="A46:C46"/>
    <mergeCell ref="K7:K8"/>
    <mergeCell ref="L7:N7"/>
    <mergeCell ref="O7:Q7"/>
    <mergeCell ref="O4:Q4"/>
    <mergeCell ref="K5:Q6"/>
    <mergeCell ref="D7:D8"/>
    <mergeCell ref="E7:G7"/>
    <mergeCell ref="H7:J7"/>
    <mergeCell ref="D5:J6"/>
    <mergeCell ref="O1:Q1"/>
    <mergeCell ref="A1:C1"/>
    <mergeCell ref="A2:C2"/>
    <mergeCell ref="A5:A8"/>
    <mergeCell ref="B5:B8"/>
    <mergeCell ref="C5:C8"/>
    <mergeCell ref="A3:Q3"/>
  </mergeCells>
  <pageMargins left="0.2" right="0.2" top="0.21" bottom="0.2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Mau bieu so 05b</vt:lpstr>
      <vt:lpstr>ChiKCB_2021</vt:lpstr>
      <vt:lpstr>ChiKCB_2022</vt:lpstr>
      <vt:lpstr>Sosanhluot2019_2021</vt:lpstr>
      <vt:lpstr>Sosanhluot2019_2022</vt:lpstr>
      <vt:lpstr>Tongmucthanhtoan2019_2021</vt:lpstr>
      <vt:lpstr>Giatang2021</vt:lpstr>
      <vt:lpstr>Giatang2022</vt:lpstr>
      <vt:lpstr>Tongmuc2022</vt:lpstr>
      <vt:lpstr>Quydinhsuat</vt:lpstr>
      <vt:lpstr>Mau bieu so 02(theBHYT_thu)</vt:lpstr>
      <vt:lpstr>ChiKCB_2021!Print_Area</vt:lpstr>
      <vt:lpstr>ChiKCB_2022!Print_Area</vt:lpstr>
      <vt:lpstr>Giatang2021!Print_Area</vt:lpstr>
      <vt:lpstr>Giatang2022!Print_Area</vt:lpstr>
      <vt:lpstr>Sosanhluot2019_2021!Print_Area</vt:lpstr>
      <vt:lpstr>Sosanhluot2019_2022!Print_Area</vt:lpstr>
      <vt:lpstr>Tongmuc2022!Print_Area</vt:lpstr>
      <vt:lpstr>Tongmucthanhtoan2019_2021!Print_Area</vt:lpstr>
      <vt:lpstr>Tongmuc2022!Print_Titles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Huong Ly</dc:creator>
  <cp:lastModifiedBy>Admin</cp:lastModifiedBy>
  <cp:lastPrinted>2021-09-28T06:48:45Z</cp:lastPrinted>
  <dcterms:created xsi:type="dcterms:W3CDTF">2021-06-24T04:40:31Z</dcterms:created>
  <dcterms:modified xsi:type="dcterms:W3CDTF">2021-09-28T08:44:10Z</dcterms:modified>
</cp:coreProperties>
</file>